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drawings/drawing3.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200" windowHeight="6945" firstSheet="6" activeTab="14"/>
  </bookViews>
  <sheets>
    <sheet name="1. Chi tieu KT" sheetId="1" r:id="rId1"/>
    <sheet name="2. CN NN DV" sheetId="2" r:id="rId2"/>
    <sheet name="2.1 - NN " sheetId="3" r:id="rId3"/>
    <sheet name="2.2 - CN DV" sheetId="4" r:id="rId4"/>
    <sheet name="3. XH" sheetId="5" r:id="rId5"/>
    <sheet name="3.1.SNLDVL" sheetId="6" r:id="rId6"/>
    <sheet name="3.2.SN daotao" sheetId="7" r:id="rId7"/>
    <sheet name="3.3.SNGDDT" sheetId="8" r:id="rId8"/>
    <sheet name="3.4.SNYte" sheetId="9" r:id="rId9"/>
    <sheet name="3.5.SNVHTTDL" sheetId="10" r:id="rId10"/>
    <sheet name="4. MT" sheetId="11" r:id="rId11"/>
    <sheet name="5. PTDN" sheetId="12" r:id="rId12"/>
    <sheet name="6. FDI" sheetId="13" r:id="rId13"/>
    <sheet name="8. CNTT" sheetId="14" r:id="rId14"/>
    <sheet name="7.Cac du an Quy hoach" sheetId="15" r:id="rId15"/>
    <sheet name="9. Nhom A DP" sheetId="16" state="hidden" r:id="rId16"/>
    <sheet name="10.TPCP-DP" sheetId="17" state="hidden" r:id="rId17"/>
    <sheet name="11. TƯV" sheetId="18" state="hidden" r:id="rId18"/>
    <sheet name="12.No XDCB" sheetId="19" state="hidden" r:id="rId19"/>
  </sheets>
  <externalReferences>
    <externalReference r:id="rId22"/>
    <externalReference r:id="rId23"/>
    <externalReference r:id="rId24"/>
    <externalReference r:id="rId25"/>
    <externalReference r:id="rId26"/>
  </externalReferences>
  <definedNames>
    <definedName name="__phu2" localSheetId="1" hidden="1">{"'Sheet1'!$L$16"}</definedName>
    <definedName name="__phu2" localSheetId="2" hidden="1">{"'Sheet1'!$L$16"}</definedName>
    <definedName name="__phu2" localSheetId="3" hidden="1">{"'Sheet1'!$L$16"}</definedName>
    <definedName name="__phu2" localSheetId="5" hidden="1">{"'Sheet1'!$L$16"}</definedName>
    <definedName name="__phu2" localSheetId="6" hidden="1">{"'Sheet1'!$L$16"}</definedName>
    <definedName name="__phu2" localSheetId="7" hidden="1">{"'Sheet1'!$L$16"}</definedName>
    <definedName name="__phu2" localSheetId="8" hidden="1">{"'Sheet1'!$L$16"}</definedName>
    <definedName name="__phu2" localSheetId="9" hidden="1">{"'Sheet1'!$L$16"}</definedName>
    <definedName name="__phu2" localSheetId="14" hidden="1">{"'Sheet1'!$L$16"}</definedName>
    <definedName name="__phu2" localSheetId="13" hidden="1">{"'Sheet1'!$L$16"}</definedName>
    <definedName name="__phu2" hidden="1">{"'Sheet1'!$L$16"}</definedName>
    <definedName name="_Fill" localSheetId="1" hidden="1">#REF!</definedName>
    <definedName name="_Fill" localSheetId="2" hidden="1">#REF!</definedName>
    <definedName name="_Fill" localSheetId="3" hidden="1">#REF!</definedName>
    <definedName name="_Fill" localSheetId="4" hidden="1">#REF!</definedName>
    <definedName name="_Fill" localSheetId="5" hidden="1">#REF!</definedName>
    <definedName name="_Fill" localSheetId="6" hidden="1">#REF!</definedName>
    <definedName name="_Fill" localSheetId="7" hidden="1">#REF!</definedName>
    <definedName name="_Fill" localSheetId="8" hidden="1">#REF!</definedName>
    <definedName name="_Fill" localSheetId="9" hidden="1">#REF!</definedName>
    <definedName name="_Fill" localSheetId="11" hidden="1">#REF!</definedName>
    <definedName name="_Fill" localSheetId="12" hidden="1">#REF!</definedName>
    <definedName name="_Fill" hidden="1">#REF!</definedName>
    <definedName name="_Key1" localSheetId="2" hidden="1">#REF!</definedName>
    <definedName name="_Key1" localSheetId="3" hidden="1">#REF!</definedName>
    <definedName name="_Key1" localSheetId="5" hidden="1">#REF!</definedName>
    <definedName name="_Key1" localSheetId="6" hidden="1">#REF!</definedName>
    <definedName name="_Key1" localSheetId="7" hidden="1">#REF!</definedName>
    <definedName name="_Key1" localSheetId="8" hidden="1">#REF!</definedName>
    <definedName name="_Key1" localSheetId="9" hidden="1">#REF!</definedName>
    <definedName name="_Key1" hidden="1">#REF!</definedName>
    <definedName name="_Key2" localSheetId="2" hidden="1">#REF!</definedName>
    <definedName name="_Key2" localSheetId="3" hidden="1">#REF!</definedName>
    <definedName name="_Key2" localSheetId="5" hidden="1">#REF!</definedName>
    <definedName name="_Key2" localSheetId="6" hidden="1">#REF!</definedName>
    <definedName name="_Key2" localSheetId="7" hidden="1">#REF!</definedName>
    <definedName name="_Key2" localSheetId="8" hidden="1">#REF!</definedName>
    <definedName name="_Key2" localSheetId="9" hidden="1">#REF!</definedName>
    <definedName name="_Key2" hidden="1">#REF!</definedName>
    <definedName name="_Order1" hidden="1">255</definedName>
    <definedName name="_Order2" hidden="1">255</definedName>
    <definedName name="_phu2" localSheetId="1" hidden="1">{"'Sheet1'!$L$16"}</definedName>
    <definedName name="_phu2" localSheetId="2" hidden="1">{"'Sheet1'!$L$16"}</definedName>
    <definedName name="_phu2" localSheetId="3" hidden="1">{"'Sheet1'!$L$16"}</definedName>
    <definedName name="_phu2" localSheetId="5" hidden="1">{"'Sheet1'!$L$16"}</definedName>
    <definedName name="_phu2" localSheetId="6" hidden="1">{"'Sheet1'!$L$16"}</definedName>
    <definedName name="_phu2" localSheetId="7" hidden="1">{"'Sheet1'!$L$16"}</definedName>
    <definedName name="_phu2" localSheetId="8" hidden="1">{"'Sheet1'!$L$16"}</definedName>
    <definedName name="_phu2" localSheetId="9" hidden="1">{"'Sheet1'!$L$16"}</definedName>
    <definedName name="_phu2" localSheetId="14" hidden="1">{"'Sheet1'!$L$16"}</definedName>
    <definedName name="_phu2" localSheetId="13" hidden="1">{"'Sheet1'!$L$16"}</definedName>
    <definedName name="_phu2" hidden="1">{"'Sheet1'!$L$16"}</definedName>
    <definedName name="_Sort" localSheetId="1" hidden="1">#REF!</definedName>
    <definedName name="_Sort" localSheetId="2" hidden="1">#REF!</definedName>
    <definedName name="_Sort" localSheetId="3" hidden="1">#REF!</definedName>
    <definedName name="_Sort" localSheetId="4" hidden="1">#REF!</definedName>
    <definedName name="_Sort" localSheetId="5" hidden="1">#REF!</definedName>
    <definedName name="_Sort" localSheetId="6" hidden="1">#REF!</definedName>
    <definedName name="_Sort" localSheetId="7" hidden="1">#REF!</definedName>
    <definedName name="_Sort" localSheetId="8" hidden="1">#REF!</definedName>
    <definedName name="_Sort" localSheetId="9" hidden="1">#REF!</definedName>
    <definedName name="_Sort" localSheetId="11" hidden="1">#REF!</definedName>
    <definedName name="_Sort" localSheetId="12" hidden="1">#REF!</definedName>
    <definedName name="_Sort" hidden="1">#REF!</definedName>
    <definedName name="dđ" localSheetId="1" hidden="1">{"'Sheet1'!$L$16"}</definedName>
    <definedName name="dđ" localSheetId="2" hidden="1">{"'Sheet1'!$L$16"}</definedName>
    <definedName name="dđ" localSheetId="3" hidden="1">{"'Sheet1'!$L$16"}</definedName>
    <definedName name="dđ" localSheetId="4" hidden="1">{"'Sheet1'!$L$16"}</definedName>
    <definedName name="dđ" localSheetId="5" hidden="1">{"'Sheet1'!$L$16"}</definedName>
    <definedName name="dđ" localSheetId="6" hidden="1">{"'Sheet1'!$L$16"}</definedName>
    <definedName name="dđ" localSheetId="7" hidden="1">{"'Sheet1'!$L$16"}</definedName>
    <definedName name="dđ" localSheetId="8" hidden="1">{"'Sheet1'!$L$16"}</definedName>
    <definedName name="dđ" localSheetId="9" hidden="1">{"'Sheet1'!$L$16"}</definedName>
    <definedName name="dđ" localSheetId="11" hidden="1">{"'Sheet1'!$L$16"}</definedName>
    <definedName name="dđ" localSheetId="12" hidden="1">{"'Sheet1'!$L$16"}</definedName>
    <definedName name="dđ" localSheetId="14" hidden="1">{"'Sheet1'!$L$16"}</definedName>
    <definedName name="dđ" localSheetId="13" hidden="1">{"'Sheet1'!$L$16"}</definedName>
    <definedName name="dđ" hidden="1">{"'Sheet1'!$L$16"}</definedName>
    <definedName name="fff" localSheetId="1" hidden="1">{"'Sheet1'!$L$16"}</definedName>
    <definedName name="fff" localSheetId="2" hidden="1">{"'Sheet1'!$L$16"}</definedName>
    <definedName name="fff" localSheetId="3" hidden="1">{"'Sheet1'!$L$16"}</definedName>
    <definedName name="fff" localSheetId="5" hidden="1">{"'Sheet1'!$L$16"}</definedName>
    <definedName name="fff" localSheetId="6" hidden="1">{"'Sheet1'!$L$16"}</definedName>
    <definedName name="fff" localSheetId="7" hidden="1">{"'Sheet1'!$L$16"}</definedName>
    <definedName name="fff" localSheetId="8" hidden="1">{"'Sheet1'!$L$16"}</definedName>
    <definedName name="fff" localSheetId="9" hidden="1">{"'Sheet1'!$L$16"}</definedName>
    <definedName name="fff" localSheetId="14" hidden="1">{"'Sheet1'!$L$16"}</definedName>
    <definedName name="fff" localSheetId="13" hidden="1">{"'Sheet1'!$L$16"}</definedName>
    <definedName name="fff" hidden="1">{"'Sheet1'!$L$16"}</definedName>
    <definedName name="h" localSheetId="1" hidden="1">{"'Sheet1'!$L$16"}</definedName>
    <definedName name="h" localSheetId="2" hidden="1">{"'Sheet1'!$L$16"}</definedName>
    <definedName name="h" localSheetId="3" hidden="1">{"'Sheet1'!$L$16"}</definedName>
    <definedName name="h" localSheetId="4" hidden="1">{"'Sheet1'!$L$16"}</definedName>
    <definedName name="h" localSheetId="5" hidden="1">{"'Sheet1'!$L$16"}</definedName>
    <definedName name="h" localSheetId="6" hidden="1">{"'Sheet1'!$L$16"}</definedName>
    <definedName name="h" localSheetId="7" hidden="1">{"'Sheet1'!$L$16"}</definedName>
    <definedName name="h" localSheetId="8" hidden="1">{"'Sheet1'!$L$16"}</definedName>
    <definedName name="h" localSheetId="9" hidden="1">{"'Sheet1'!$L$16"}</definedName>
    <definedName name="h" localSheetId="11" hidden="1">{"'Sheet1'!$L$16"}</definedName>
    <definedName name="h" localSheetId="12" hidden="1">{"'Sheet1'!$L$16"}</definedName>
    <definedName name="h" localSheetId="14" hidden="1">{"'Sheet1'!$L$16"}</definedName>
    <definedName name="h" localSheetId="13" hidden="1">{"'Sheet1'!$L$16"}</definedName>
    <definedName name="h" hidden="1">{"'Sheet1'!$L$16"}</definedName>
    <definedName name="hh" localSheetId="1" hidden="1">{"'Sheet1'!$L$16"}</definedName>
    <definedName name="hh" localSheetId="2" hidden="1">{"'Sheet1'!$L$16"}</definedName>
    <definedName name="hh" localSheetId="3" hidden="1">{"'Sheet1'!$L$16"}</definedName>
    <definedName name="hh" localSheetId="5" hidden="1">{"'Sheet1'!$L$16"}</definedName>
    <definedName name="hh" localSheetId="6" hidden="1">{"'Sheet1'!$L$16"}</definedName>
    <definedName name="hh" localSheetId="7" hidden="1">{"'Sheet1'!$L$16"}</definedName>
    <definedName name="hh" localSheetId="8" hidden="1">{"'Sheet1'!$L$16"}</definedName>
    <definedName name="hh" localSheetId="9" hidden="1">{"'Sheet1'!$L$16"}</definedName>
    <definedName name="hh" localSheetId="14" hidden="1">{"'Sheet1'!$L$16"}</definedName>
    <definedName name="hh" localSheetId="13" hidden="1">{"'Sheet1'!$L$16"}</definedName>
    <definedName name="hh" hidden="1">{"'Sheet1'!$L$16"}</definedName>
    <definedName name="HTML_CodePage" hidden="1">950</definedName>
    <definedName name="HTML_Control" localSheetId="1" hidden="1">{"'Sheet1'!$L$16"}</definedName>
    <definedName name="HTML_Control" localSheetId="2" hidden="1">{"'Sheet1'!$L$16"}</definedName>
    <definedName name="HTML_Control" localSheetId="3" hidden="1">{"'Sheet1'!$L$16"}</definedName>
    <definedName name="HTML_Control" localSheetId="4" hidden="1">{"'Sheet1'!$L$16"}</definedName>
    <definedName name="HTML_Control" localSheetId="5" hidden="1">{"'Sheet1'!$L$16"}</definedName>
    <definedName name="HTML_Control" localSheetId="6" hidden="1">{"'Sheet1'!$L$16"}</definedName>
    <definedName name="HTML_Control" localSheetId="7" hidden="1">{"'Sheet1'!$L$16"}</definedName>
    <definedName name="HTML_Control" localSheetId="8" hidden="1">{"'Sheet1'!$L$16"}</definedName>
    <definedName name="HTML_Control" localSheetId="9" hidden="1">{"'Sheet1'!$L$16"}</definedName>
    <definedName name="HTML_Control" localSheetId="11" hidden="1">{"'Sheet1'!$L$16"}</definedName>
    <definedName name="HTML_Control" localSheetId="12" hidden="1">{"'Sheet1'!$L$16"}</definedName>
    <definedName name="HTML_Control" localSheetId="14" hidden="1">{"'Sheet1'!$L$16"}</definedName>
    <definedName name="HTML_Control" localSheetId="13" hidden="1">{"'Sheet1'!$L$16"}</definedName>
    <definedName name="HTML_Control" hidden="1">{"'Sheet1'!$L$16"}</definedName>
    <definedName name="HTML_Description" hidden="1">""</definedName>
    <definedName name="HTML_Email" hidden="1">""</definedName>
    <definedName name="HTML_Header" hidden="1">"Sheet1"</definedName>
    <definedName name="HTML_LastUpdate" hidden="1">"2000/9/14"</definedName>
    <definedName name="HTML_LineAfter" hidden="1">FALSE</definedName>
    <definedName name="HTML_LineBefore" hidden="1">FALSE</definedName>
    <definedName name="HTML_Name" hidden="1">"J.C.WONG"</definedName>
    <definedName name="HTML_OBDlg2" hidden="1">TRUE</definedName>
    <definedName name="HTML_OBDlg4" hidden="1">TRUE</definedName>
    <definedName name="HTML_OS" hidden="1">0</definedName>
    <definedName name="HTML_PathFile" localSheetId="5" hidden="1">"C:\2689\Q\??\00q3961????PTA3??\MyHTML.htm"</definedName>
    <definedName name="HTML_PathFile" hidden="1">"C:\2689\Q\國內\00q3961台化龍德PTA3建造\MyHTML.htm"</definedName>
    <definedName name="HTML_Title" hidden="1">"00Q3961-SUM"</definedName>
    <definedName name="huy" localSheetId="1" hidden="1">{"'Sheet1'!$L$16"}</definedName>
    <definedName name="huy" localSheetId="2" hidden="1">{"'Sheet1'!$L$16"}</definedName>
    <definedName name="huy" localSheetId="3" hidden="1">{"'Sheet1'!$L$16"}</definedName>
    <definedName name="huy" localSheetId="4" hidden="1">{"'Sheet1'!$L$16"}</definedName>
    <definedName name="huy" localSheetId="5" hidden="1">{"'Sheet1'!$L$16"}</definedName>
    <definedName name="huy" localSheetId="6" hidden="1">{"'Sheet1'!$L$16"}</definedName>
    <definedName name="huy" localSheetId="7" hidden="1">{"'Sheet1'!$L$16"}</definedName>
    <definedName name="huy" localSheetId="8" hidden="1">{"'Sheet1'!$L$16"}</definedName>
    <definedName name="huy" localSheetId="9" hidden="1">{"'Sheet1'!$L$16"}</definedName>
    <definedName name="huy" localSheetId="11" hidden="1">{"'Sheet1'!$L$16"}</definedName>
    <definedName name="huy" localSheetId="12" hidden="1">{"'Sheet1'!$L$16"}</definedName>
    <definedName name="huy" localSheetId="14" hidden="1">{"'Sheet1'!$L$16"}</definedName>
    <definedName name="huy" localSheetId="13" hidden="1">{"'Sheet1'!$L$16"}</definedName>
    <definedName name="huy" hidden="1">{"'Sheet1'!$L$16"}</definedName>
    <definedName name="_xlnm.Print_Area" localSheetId="0">'1. Chi tieu KT'!$A$1:$K$63</definedName>
    <definedName name="_xlnm.Print_Area" localSheetId="16">'10.TPCP-DP'!$A$1:$AD$61</definedName>
    <definedName name="_xlnm.Print_Area" localSheetId="17">'11. TƯV'!$A$1:$I$27</definedName>
    <definedName name="_xlnm.Print_Area" localSheetId="18">'12.No XDCB'!$A$1:$O$27</definedName>
    <definedName name="_xlnm.Print_Area" localSheetId="1">'2. CN NN DV'!$A$1:$K$96</definedName>
    <definedName name="_xlnm.Print_Area" localSheetId="2">'2.1 - NN '!$A$1:$S$61</definedName>
    <definedName name="_xlnm.Print_Area" localSheetId="3">'2.2 - CN DV'!$A$1:$S$51</definedName>
    <definedName name="_xlnm.Print_Area" localSheetId="4">'3. XH'!$A$1:$K$62</definedName>
    <definedName name="_xlnm.Print_Area" localSheetId="5">'3.1.SNLDVL'!$A$1:$R$88</definedName>
    <definedName name="_xlnm.Print_Area" localSheetId="6">'3.2.SN daotao'!$A$1:$G$131</definedName>
    <definedName name="_xlnm.Print_Area" localSheetId="7">'3.3.SNGDDT'!$A$1:$R$115</definedName>
    <definedName name="_xlnm.Print_Area" localSheetId="8">'3.4.SNYte'!$A$1:$R$142</definedName>
    <definedName name="_xlnm.Print_Area" localSheetId="9">'3.5.SNVHTTDL'!$A$1:$R$83</definedName>
    <definedName name="_xlnm.Print_Area" localSheetId="10">'4. MT'!$A$1:$J$15</definedName>
    <definedName name="_xlnm.Print_Area" localSheetId="11">'5. PTDN'!$A$1:$J$57</definedName>
    <definedName name="_xlnm.Print_Area" localSheetId="12">'6. FDI'!$A$1:$J$46</definedName>
    <definedName name="_xlnm.Print_Area" localSheetId="14">'7.Cac du an Quy hoach'!$A$1:$J$17</definedName>
    <definedName name="_xlnm.Print_Area" localSheetId="13">'8. CNTT'!$A$1:$S$79</definedName>
    <definedName name="_xlnm.Print_Area" localSheetId="15">'9. Nhom A DP'!$A$1:$AQ$75</definedName>
    <definedName name="_xlnm.Print_Titles" localSheetId="0">'1. Chi tieu KT'!$6:$7</definedName>
    <definedName name="_xlnm.Print_Titles" localSheetId="16">'10.TPCP-DP'!$4:$7</definedName>
    <definedName name="_xlnm.Print_Titles" localSheetId="18">'12.No XDCB'!$5:$6</definedName>
    <definedName name="_xlnm.Print_Titles" localSheetId="1">'2. CN NN DV'!$6:$7</definedName>
    <definedName name="_xlnm.Print_Titles" localSheetId="2">'2.1 - NN '!$8:$10</definedName>
    <definedName name="_xlnm.Print_Titles" localSheetId="3">'2.2 - CN DV'!$4:$6</definedName>
    <definedName name="_xlnm.Print_Titles" localSheetId="4">'3. XH'!$5:$6</definedName>
    <definedName name="_xlnm.Print_Titles" localSheetId="5">'3.1.SNLDVL'!$5:$7</definedName>
    <definedName name="_xlnm.Print_Titles" localSheetId="6">'3.2.SN daotao'!$5:$6</definedName>
    <definedName name="_xlnm.Print_Titles" localSheetId="7">'3.3.SNGDDT'!$5:$6</definedName>
    <definedName name="_xlnm.Print_Titles" localSheetId="8">'3.4.SNYte'!$5:$6</definedName>
    <definedName name="_xlnm.Print_Titles" localSheetId="9">'3.5.SNVHTTDL'!$5:$6</definedName>
    <definedName name="_xlnm.Print_Titles" localSheetId="10">'4. MT'!$8:$8</definedName>
    <definedName name="_xlnm.Print_Titles" localSheetId="11">'5. PTDN'!$6:$8</definedName>
    <definedName name="_xlnm.Print_Titles" localSheetId="12">'6. FDI'!$7:$8</definedName>
    <definedName name="_xlnm.Print_Titles" localSheetId="14">'7.Cac du an Quy hoach'!$6:$8</definedName>
    <definedName name="_xlnm.Print_Titles" localSheetId="15">'9. Nhom A DP'!$4:$8</definedName>
    <definedName name="TaxTV">10%</definedName>
    <definedName name="TaxXL">5%</definedName>
    <definedName name="thu" localSheetId="1" hidden="1">{"'Sheet1'!$L$16"}</definedName>
    <definedName name="thu" localSheetId="2" hidden="1">{"'Sheet1'!$L$16"}</definedName>
    <definedName name="thu" localSheetId="3" hidden="1">{"'Sheet1'!$L$16"}</definedName>
    <definedName name="thu" localSheetId="5" hidden="1">{"'Sheet1'!$L$16"}</definedName>
    <definedName name="thu" localSheetId="6" hidden="1">{"'Sheet1'!$L$16"}</definedName>
    <definedName name="thu" localSheetId="7" hidden="1">{"'Sheet1'!$L$16"}</definedName>
    <definedName name="thu" localSheetId="8" hidden="1">{"'Sheet1'!$L$16"}</definedName>
    <definedName name="thu" localSheetId="9" hidden="1">{"'Sheet1'!$L$16"}</definedName>
    <definedName name="thu" localSheetId="14" hidden="1">{"'Sheet1'!$L$16"}</definedName>
    <definedName name="thu" localSheetId="13" hidden="1">{"'Sheet1'!$L$16"}</definedName>
    <definedName name="thu" hidden="1">{"'Sheet1'!$L$16"}</definedName>
    <definedName name="wrn.chi._.tiÆt." localSheetId="1" hidden="1">{#N/A,#N/A,FALSE,"Chi ti?t"}</definedName>
    <definedName name="wrn.chi._.tiÆt." localSheetId="2" hidden="1">{#N/A,#N/A,FALSE,"Chi ti?t"}</definedName>
    <definedName name="wrn.chi._.tiÆt." localSheetId="3" hidden="1">{#N/A,#N/A,FALSE,"Chi ti?t"}</definedName>
    <definedName name="wrn.chi._.tiÆt." localSheetId="5" hidden="1">{#N/A,#N/A,FALSE,"Chi ti?t"}</definedName>
    <definedName name="wrn.chi._.tiÆt." localSheetId="6" hidden="1">{#N/A,#N/A,FALSE,"Chi ti?t"}</definedName>
    <definedName name="wrn.chi._.tiÆt." localSheetId="7" hidden="1">{#N/A,#N/A,FALSE,"Chi ti?t"}</definedName>
    <definedName name="wrn.chi._.tiÆt." localSheetId="8" hidden="1">{#N/A,#N/A,FALSE,"Chi ti?t"}</definedName>
    <definedName name="wrn.chi._.tiÆt." localSheetId="9" hidden="1">{#N/A,#N/A,FALSE,"Chi ti?t"}</definedName>
    <definedName name="wrn.chi._.tiÆt." localSheetId="14" hidden="1">{#N/A,#N/A,FALSE,"Chi ti?t"}</definedName>
    <definedName name="wrn.chi._.tiÆt." localSheetId="13" hidden="1">{#N/A,#N/A,FALSE,"Chi ti?t"}</definedName>
    <definedName name="wrn.chi._.tiÆt." hidden="1">{#N/A,#N/A,FALSE,"Chi ti?t"}</definedName>
  </definedNames>
  <calcPr fullCalcOnLoad="1"/>
</workbook>
</file>

<file path=xl/comments2.xml><?xml version="1.0" encoding="utf-8"?>
<comments xmlns="http://schemas.openxmlformats.org/spreadsheetml/2006/main">
  <authors>
    <author>AutoBVT</author>
    <author>Nguyễn Thanh Hà</author>
  </authors>
  <commentList>
    <comment ref="G19" authorId="0">
      <text>
        <r>
          <rPr>
            <b/>
            <sz val="9"/>
            <rFont val="Tahoma"/>
            <family val="2"/>
          </rPr>
          <t>AutoBVT:</t>
        </r>
        <r>
          <rPr>
            <sz val="9"/>
            <rFont val="Tahoma"/>
            <family val="2"/>
          </rPr>
          <t xml:space="preserve">
Lấy theo số liệu ngành</t>
        </r>
      </text>
    </comment>
    <comment ref="F20" authorId="1">
      <text>
        <r>
          <rPr>
            <b/>
            <sz val="9"/>
            <rFont val="Tahoma"/>
            <family val="2"/>
          </rPr>
          <t>Nguyễn Thanh Hà:</t>
        </r>
        <r>
          <rPr>
            <sz val="9"/>
            <rFont val="Tahoma"/>
            <family val="2"/>
          </rPr>
          <t xml:space="preserve">
42,46
</t>
        </r>
      </text>
    </comment>
    <comment ref="D52" authorId="0">
      <text>
        <r>
          <rPr>
            <b/>
            <sz val="9"/>
            <rFont val="Tahoma"/>
            <family val="2"/>
          </rPr>
          <t>AutoBVT:</t>
        </r>
        <r>
          <rPr>
            <sz val="9"/>
            <rFont val="Tahoma"/>
            <family val="2"/>
          </rPr>
          <t xml:space="preserve">
Theo BC 47/BC-BND ngày 06/3/2018</t>
        </r>
      </text>
    </comment>
    <comment ref="E53" authorId="0">
      <text>
        <r>
          <rPr>
            <b/>
            <sz val="9"/>
            <rFont val="Tahoma"/>
            <family val="2"/>
          </rPr>
          <t>AutoBVT:</t>
        </r>
        <r>
          <rPr>
            <sz val="9"/>
            <rFont val="Tahoma"/>
            <family val="2"/>
          </rPr>
          <t xml:space="preserve">
Số theo kế hoạch 1220/QĐ-UBND ngày 09/12/2017</t>
        </r>
      </text>
    </comment>
  </commentList>
</comments>
</file>

<file path=xl/comments3.xml><?xml version="1.0" encoding="utf-8"?>
<comments xmlns="http://schemas.openxmlformats.org/spreadsheetml/2006/main">
  <authors>
    <author>Windows User</author>
  </authors>
  <commentList>
    <comment ref="H37" authorId="0">
      <text>
        <r>
          <rPr>
            <b/>
            <sz val="9"/>
            <rFont val="Tahoma"/>
            <family val="2"/>
          </rPr>
          <t>Windows User:</t>
        </r>
        <r>
          <rPr>
            <sz val="9"/>
            <rFont val="Tahoma"/>
            <family val="2"/>
          </rPr>
          <t xml:space="preserve">
</t>
        </r>
      </text>
    </comment>
  </commentList>
</comments>
</file>

<file path=xl/comments6.xml><?xml version="1.0" encoding="utf-8"?>
<comments xmlns="http://schemas.openxmlformats.org/spreadsheetml/2006/main">
  <authors>
    <author>Windows User</author>
  </authors>
  <commentList>
    <comment ref="B47" authorId="0">
      <text>
        <r>
          <rPr>
            <b/>
            <sz val="9"/>
            <rFont val="Tahoma"/>
            <family val="2"/>
          </rPr>
          <t>Windows User:</t>
        </r>
        <r>
          <rPr>
            <sz val="9"/>
            <rFont val="Tahoma"/>
            <family val="2"/>
          </rPr>
          <t xml:space="preserve">
Bổ sung 4 chỉ tiêu phát triển trẻ thơ toàn diện theo CV số 2618/UBND-VX ngày 27/7/2018</t>
        </r>
      </text>
    </comment>
    <comment ref="B76" authorId="0">
      <text>
        <r>
          <rPr>
            <b/>
            <sz val="9"/>
            <rFont val="Tahoma"/>
            <family val="2"/>
          </rPr>
          <t>Windows User:</t>
        </r>
        <r>
          <rPr>
            <sz val="9"/>
            <rFont val="Tahoma"/>
            <family val="2"/>
          </rPr>
          <t xml:space="preserve">
các chỉ tiêu về bảo hiểm thay đổi theo NQ 102/NQ-CP ngày  03/08/2018 và CV 2231/UBND-KGVX ngày 14/8/2018</t>
        </r>
      </text>
    </comment>
  </commentList>
</comments>
</file>

<file path=xl/comments8.xml><?xml version="1.0" encoding="utf-8"?>
<comments xmlns="http://schemas.openxmlformats.org/spreadsheetml/2006/main">
  <authors>
    <author>Dungpro</author>
  </authors>
  <commentList>
    <comment ref="E74" authorId="0">
      <text>
        <r>
          <rPr>
            <b/>
            <sz val="9"/>
            <rFont val="Tahoma"/>
            <family val="2"/>
          </rPr>
          <t>Dungpro:</t>
        </r>
        <r>
          <rPr>
            <sz val="9"/>
            <rFont val="Tahoma"/>
            <family val="2"/>
          </rPr>
          <t xml:space="preserve">
2018 tonhr giao 81 thấp hơn thực hiện</t>
        </r>
      </text>
    </comment>
    <comment ref="E76" authorId="0">
      <text>
        <r>
          <rPr>
            <b/>
            <sz val="9"/>
            <rFont val="Tahoma"/>
            <family val="2"/>
          </rPr>
          <t>KH 2018 tỉnh giao là 117 tuy nhiên thực hiện 2017 là 119
123 là số cộng kế hoạch đăng kí của đvị</t>
        </r>
      </text>
    </comment>
    <comment ref="M81" authorId="0">
      <text>
        <r>
          <rPr>
            <b/>
            <sz val="9"/>
            <rFont val="Tahoma"/>
            <family val="2"/>
          </rPr>
          <t>Dungpro:</t>
        </r>
        <r>
          <rPr>
            <sz val="9"/>
            <rFont val="Tahoma"/>
            <family val="2"/>
          </rPr>
          <t xml:space="preserve">
-1</t>
        </r>
      </text>
    </comment>
  </commentList>
</comments>
</file>

<file path=xl/sharedStrings.xml><?xml version="1.0" encoding="utf-8"?>
<sst xmlns="http://schemas.openxmlformats.org/spreadsheetml/2006/main" count="2687" uniqueCount="1403">
  <si>
    <t>Tỉnh, thành phố . . . . . . . .</t>
  </si>
  <si>
    <t>Biểu số 1</t>
  </si>
  <si>
    <t>TT</t>
  </si>
  <si>
    <t>Chỉ tiêu</t>
  </si>
  <si>
    <t>Đơn vị</t>
  </si>
  <si>
    <t>Kế hoạch</t>
  </si>
  <si>
    <t>Ước thực hiện 6 tháng</t>
  </si>
  <si>
    <t>Ước thực hiện cả năm</t>
  </si>
  <si>
    <t>8=7/4</t>
  </si>
  <si>
    <t>10=9/7</t>
  </si>
  <si>
    <t xml:space="preserve">Tổng sản phẩm trên địa bàn tỉnh, thành phố trực thuộc Trung ương (GRDP) </t>
  </si>
  <si>
    <t>Tỷ đồng</t>
  </si>
  <si>
    <t>Trong đó:</t>
  </si>
  <si>
    <t>-</t>
  </si>
  <si>
    <t>Nông, lâm nghiệp, thuỷ sản</t>
  </si>
  <si>
    <t>Công nghiệp và xây dựng</t>
  </si>
  <si>
    <t>Dịch vụ</t>
  </si>
  <si>
    <t>Thuế sản phẩm trừ trợ cấp</t>
  </si>
  <si>
    <t xml:space="preserve">GRDP (giá hiện hành) </t>
  </si>
  <si>
    <t>GRDP bình quân đầu người</t>
  </si>
  <si>
    <t>Triệu đồng</t>
  </si>
  <si>
    <t>%</t>
  </si>
  <si>
    <t>Tổng mức bán lẻ hàng hoá và doanh thu dịch vụ tiêu dùng trên địa bàn</t>
  </si>
  <si>
    <t>Kim ngạch xuất khẩu hàng hóa trên địa bàn</t>
  </si>
  <si>
    <t>Triệu USD</t>
  </si>
  <si>
    <t xml:space="preserve">Trong đó: Xuất khẩu địa phương (quản lý) </t>
  </si>
  <si>
    <t>Kim ngạch nhập khẩu hàng hóa trên địa bàn</t>
  </si>
  <si>
    <t>Thu Ngân sách Nhà nước trên địa bàn (không bao gồm số bổ sung từ NSTW)</t>
  </si>
  <si>
    <t>Thu thuế xuất, nhập khẩu</t>
  </si>
  <si>
    <t>Thu nội địa</t>
  </si>
  <si>
    <t>+ Thu từ kinh tế Trung ương</t>
  </si>
  <si>
    <t>+ Thu quốc doanh địa phương</t>
  </si>
  <si>
    <t>+ Thu ngoài quốc doanh</t>
  </si>
  <si>
    <t>+ Thu từ khu vực có vốn đầu tư nước ngoài</t>
  </si>
  <si>
    <t>Ngân sách Trung ương bổ sung cho ngân sách địa phương (hoặc điều tiết về Ngân sách Trung ương)</t>
  </si>
  <si>
    <t>Chi ngân sách địa phương</t>
  </si>
  <si>
    <t>a)</t>
  </si>
  <si>
    <t>Chi đầu tư phát triển do địa phương quản lý</t>
  </si>
  <si>
    <t>Vốn cân đối ngân sách địa phương</t>
  </si>
  <si>
    <t>+ Đầu tư từ nguồn thu tiền sử dụng đất</t>
  </si>
  <si>
    <t>+ Thu từ xổ số kiến thiết</t>
  </si>
  <si>
    <t>b)</t>
  </si>
  <si>
    <t>Chi thường xuyên</t>
  </si>
  <si>
    <t>Tổng vốn đầu tư phát triển trên địa bàn</t>
  </si>
  <si>
    <t>Trung ương quản lý</t>
  </si>
  <si>
    <t>Địa phương quản lý</t>
  </si>
  <si>
    <t>Vốn đầu tư trực tiếp nước ngoài (FDI)</t>
  </si>
  <si>
    <t>Biểu số 2</t>
  </si>
  <si>
    <t>A</t>
  </si>
  <si>
    <t>NÔNG, LÂM NGHIỆP VÀ THUỶ SẢN</t>
  </si>
  <si>
    <t>c)</t>
  </si>
  <si>
    <t>Năng suất, sản lượng một số cây trồng chủ  yếu trên địa bàn</t>
  </si>
  <si>
    <t>Lúa cả năm:</t>
  </si>
  <si>
    <t>Năng suất</t>
  </si>
  <si>
    <t>Tạ/ha</t>
  </si>
  <si>
    <t>Sản lượng</t>
  </si>
  <si>
    <t>Triệu tấn</t>
  </si>
  <si>
    <t>Ngô:</t>
  </si>
  <si>
    <t>Một số cây lâu năm:</t>
  </si>
  <si>
    <t>Thịt hơi các loại</t>
  </si>
  <si>
    <t>Nghìn tấn</t>
  </si>
  <si>
    <t xml:space="preserve">  Trong đó: Thịt lợn</t>
  </si>
  <si>
    <t>Lâm nghiệp</t>
  </si>
  <si>
    <t>Lâm sinh</t>
  </si>
  <si>
    <t>- Khoán bảo vệ rừng</t>
  </si>
  <si>
    <t>Nghìn ha</t>
  </si>
  <si>
    <t>- Khoanh nuôi rừng tái sinh</t>
  </si>
  <si>
    <t>Diện tích rừng trồng mới tập trung</t>
  </si>
  <si>
    <t xml:space="preserve">  Trong đó:</t>
  </si>
  <si>
    <t xml:space="preserve">  + Rừng phòng hộ đặc dụng</t>
  </si>
  <si>
    <t xml:space="preserve">  + Rừng sản xuất và trồng thay thế</t>
  </si>
  <si>
    <t>- Trồng cây phân tán</t>
  </si>
  <si>
    <t>- Chăm sóc rừng trồng</t>
  </si>
  <si>
    <t>Tỷ lệ che phủ rừng</t>
  </si>
  <si>
    <t>Khai thác gỗ</t>
  </si>
  <si>
    <t>- Tổng số gỗ khai thác</t>
  </si>
  <si>
    <t>Nghìn m3</t>
  </si>
  <si>
    <t xml:space="preserve">  + Gỗ tự nhiên</t>
  </si>
  <si>
    <t xml:space="preserve">  + Gỗ rừng trồng</t>
  </si>
  <si>
    <t>Thủy sản</t>
  </si>
  <si>
    <t>Sản lượng khai thác</t>
  </si>
  <si>
    <t>Sản lượng nuôi trồng</t>
  </si>
  <si>
    <t xml:space="preserve">   + Cá nuôi</t>
  </si>
  <si>
    <t xml:space="preserve">   + Tôm nuôi</t>
  </si>
  <si>
    <t>Phát triển nông thôn</t>
  </si>
  <si>
    <t>Xã</t>
  </si>
  <si>
    <t>Tỷ lệ dân số nông thôn được sử dụng nước hợp vệ sinh</t>
  </si>
  <si>
    <t>Số tiêu chí nông thôn mới bình quân đạt được bình quân/xã</t>
  </si>
  <si>
    <t>Tiêu chí</t>
  </si>
  <si>
    <t>Số xã đạt chuẩn nông thôn mới</t>
  </si>
  <si>
    <t>xã</t>
  </si>
  <si>
    <t>B</t>
  </si>
  <si>
    <t>CÔNG NGHIỆP</t>
  </si>
  <si>
    <t>Giá trị sản xuất công nghiệp  theo giá so sánh năm 2010</t>
  </si>
  <si>
    <t>Tỷ đồng</t>
  </si>
  <si>
    <t>Chỉ số sản xuất công nghiệp (IIP) so với cùng kỳ theo gốc năm 2010</t>
  </si>
  <si>
    <t>Công nghiệp khai khoáng</t>
  </si>
  <si>
    <t>Công nghiệp chế biến, chế tạo</t>
  </si>
  <si>
    <t>Sản xuất và phân phối điện, khí đốt, nước</t>
  </si>
  <si>
    <t>Cung cấp nước, quản lý và xử lý rác thải, nước thải</t>
  </si>
  <si>
    <t>Một số sản phẩm chủ yếu:</t>
  </si>
  <si>
    <t>C</t>
  </si>
  <si>
    <t>DỊCH VỤ</t>
  </si>
  <si>
    <t>Tổng mức bán lẻ hàng hoá và doanh thu dịch vụ tiêu dùng (giá hiện hành)</t>
  </si>
  <si>
    <t>D</t>
  </si>
  <si>
    <t>XUẤT NHẬP KHẨU</t>
  </si>
  <si>
    <t>Biểu số 3</t>
  </si>
  <si>
    <t>I</t>
  </si>
  <si>
    <t>DÂN SỐ</t>
  </si>
  <si>
    <t>Dân số trung bình</t>
  </si>
  <si>
    <t>Trong đó: Dân số nông thôn</t>
  </si>
  <si>
    <t>Dân số là dân tộc thiểu số</t>
  </si>
  <si>
    <t>Nghìn người</t>
  </si>
  <si>
    <t>Tuổi thọ trung bình</t>
  </si>
  <si>
    <t>Tuổi</t>
  </si>
  <si>
    <t>Tỷ số giới tính của trẻ em mới sinh</t>
  </si>
  <si>
    <t>Số bé trai/ 100 bé gái</t>
  </si>
  <si>
    <t>II</t>
  </si>
  <si>
    <t>LAO ĐỘNG VÀ VIỆC LÀM</t>
  </si>
  <si>
    <t>Ngh.người</t>
  </si>
  <si>
    <t>Số lao động đi làm việc ở nước ngoài theo hợp đồng</t>
  </si>
  <si>
    <t>Tỷ lệ lao động được đào tạo so với tổng số lao động</t>
  </si>
  <si>
    <t>III</t>
  </si>
  <si>
    <t xml:space="preserve">Tổng số hộ của toàn tỉnh/thành phố </t>
  </si>
  <si>
    <t>Số hộ nghèo</t>
  </si>
  <si>
    <t>Tỷ lệ hộ nghèo</t>
  </si>
  <si>
    <t>Số hộ thiếu đói trong năm</t>
  </si>
  <si>
    <t>Hộ</t>
  </si>
  <si>
    <t>Mức giảm tỷ lệ hộ nghèo</t>
  </si>
  <si>
    <t>Số hộ cận nghèo</t>
  </si>
  <si>
    <t>Tỷ lệ hộ cận nghèo</t>
  </si>
  <si>
    <t>Số hộ thoát nghèo</t>
  </si>
  <si>
    <t>IV</t>
  </si>
  <si>
    <t>CUNG CẤP CÁC DỊCH VỤ CƠ SỞ HẠ TẦNG THIẾT YẾU</t>
  </si>
  <si>
    <t xml:space="preserve">Tổng số xã của toàn tỉnh/thành phố </t>
  </si>
  <si>
    <t>+ Số xã đặc biệt khó khăn (theo tiêu chuẩn của Chương trình 135)</t>
  </si>
  <si>
    <t>+ Số xã biên giới (nếu có)</t>
  </si>
  <si>
    <t>+ Số xã có đường ô tô đến trung tâm</t>
  </si>
  <si>
    <t>+ Tỷ lệ xã có đường ô tô đến trung tâm</t>
  </si>
  <si>
    <t>+ Số xã có trạm y tế</t>
  </si>
  <si>
    <t>+ Tỷ lệ xã có trạm y tế</t>
  </si>
  <si>
    <t>+ Số xã phường có nhà văn hoá, thư viện</t>
  </si>
  <si>
    <t>Xã, phường</t>
  </si>
  <si>
    <t>+ Số xã có bưu điện văn hoá xã</t>
  </si>
  <si>
    <t>+ Tỷ lệ xã có bưu điện văn hoá xã</t>
  </si>
  <si>
    <t>+ Số xã có chợ xã, liên xã</t>
  </si>
  <si>
    <t>+ Tỷ lệ xã có chợ xã, liên xã</t>
  </si>
  <si>
    <t>Số hộ được sử dụng điện</t>
  </si>
  <si>
    <t>Tỷ lệ hộ được sử dụng điện</t>
  </si>
  <si>
    <t xml:space="preserve">  + Khu vực thành thị</t>
  </si>
  <si>
    <t xml:space="preserve">  + Khu vực nông thôn</t>
  </si>
  <si>
    <t>V</t>
  </si>
  <si>
    <t>Y TẾ - XÃ HỘI</t>
  </si>
  <si>
    <t>Tỷ lệ dân số tham gia bảo hiểm y tế</t>
  </si>
  <si>
    <t>Số giường bệnh/1 vạn dân (không tính giường trạm y tế xã)</t>
  </si>
  <si>
    <t>Giường</t>
  </si>
  <si>
    <t>Số bác sỹ/1 vạn dân</t>
  </si>
  <si>
    <t>Bác sỹ</t>
  </si>
  <si>
    <t>Tỷ lệ trạm y tế xã, phường, thị trấn có bác sỹ làm việc</t>
  </si>
  <si>
    <t>Tỷ lệ xã đạt tiêu chí quốc gia về y tế</t>
  </si>
  <si>
    <t>Tỷ suất tử vong trẻ em dưới 1 tuổi</t>
  </si>
  <si>
    <t>‰</t>
  </si>
  <si>
    <t xml:space="preserve">Tỷ lệ trẻ em dưới 5 tuổi suy dinh dưỡng (cân nặng theo tuổi) </t>
  </si>
  <si>
    <t>xã, phường</t>
  </si>
  <si>
    <t>Biểu số 4</t>
  </si>
  <si>
    <t>CÁC CHỈ TIÊU MÔI TRƯỜNG VÀ PHÁT TRIỂN BỀN VỮNG</t>
  </si>
  <si>
    <t>Tỷ lệ chất thải rắn ở đô thị được thu gom</t>
  </si>
  <si>
    <t>Số cơ sở gây ô nhiễm môi trường nghiêm trọng được xử lý  (*)</t>
  </si>
  <si>
    <t>Số khu công nghiệp, khu chế xuất đang hoạt động</t>
  </si>
  <si>
    <t>Khu</t>
  </si>
  <si>
    <t>Số khu công nghiệp, khu chế xuất đang hoạt động có hệ thống xử lý nước thải tập trung đạt tiêu chuẩn môi trường</t>
  </si>
  <si>
    <t>Tỷ lệ khu công nghiệp, khu chế xuất đang hoạt động có hệ thống xử lý nước thải tập trung đạt tiêu chuẩn môi trường</t>
  </si>
  <si>
    <t>Ghi chú: (*) Giai đoạn 2011-2015 thực hiện theo Quyết định số 64/2003/QĐ-TTg; giai đoạn 2016-2020 thực hiện theo Quyết định số 1788/QĐ-TTg ngày 01/10/2013 của Thủ tướng Chính phủ</t>
  </si>
  <si>
    <t>Biểu số 5</t>
  </si>
  <si>
    <t>CÁC CHỈ TIÊU PHÁT TRIỂN DOANH NGHIỆP VÀ KINH TẾ TẬP THỂ</t>
  </si>
  <si>
    <t>PHÁT TRIỂN DOANH NGHIỆP</t>
  </si>
  <si>
    <t>Doanh nghiệp 100% vốn nhà nước (DNNN)</t>
  </si>
  <si>
    <t>Số lượng doanh nghiệp</t>
  </si>
  <si>
    <t>Doanh nghiệp</t>
  </si>
  <si>
    <t>Tổng vốn chủ sở hữu tại doanh nghiệp</t>
  </si>
  <si>
    <t>Nộp ngân sách nhà nước</t>
  </si>
  <si>
    <t>Tổng lợi nhuận</t>
  </si>
  <si>
    <t>Hình thức sắp xếp doanh nghiệp</t>
  </si>
  <si>
    <t>- Số doanh nghiệp giữ nguyên 100% vốn nhà nước</t>
  </si>
  <si>
    <t>- Số doanh nghiệp thực hiện cổ phần hóa</t>
  </si>
  <si>
    <t>- Số doanh nghiệp sắp xếp theo hình thức khác (bán, hợp nhất, sáp nhập,…)</t>
  </si>
  <si>
    <t>Doanh nghiệp ngoài nhà nước</t>
  </si>
  <si>
    <t>Số doanh nghiệp đang hoạt động (lũy kế đến kỳ báo cáo)</t>
  </si>
  <si>
    <t>Trong đó: Số doanh nghiệp có phần vốn của nhà nước</t>
  </si>
  <si>
    <t>Số doanh nghiệp tư nhân trong nước đăng ký thành lập mới</t>
  </si>
  <si>
    <t>Tổng số vốn đăng ký của doanh nghiệp tư nhân trong nước</t>
  </si>
  <si>
    <t>Trong đó: Tổng vốn nhà nước đầu tư tại doanh nghiệp có phần vốn của nhà nước</t>
  </si>
  <si>
    <t>Số doanh nghiệp giải thể, ngừng hoạt động</t>
  </si>
  <si>
    <t>Số doanh nghiệp kinh doanh có lãi</t>
  </si>
  <si>
    <t>Số doanh nghiệp kinh doanh lỗ</t>
  </si>
  <si>
    <t>Tổng số lao động trong doanh nghiệp</t>
  </si>
  <si>
    <t>Người</t>
  </si>
  <si>
    <t>Thu nhập bình quân người lao động</t>
  </si>
  <si>
    <t>Tổng vốn đầu tư thực hiện</t>
  </si>
  <si>
    <t>Trong đó: Tổng vốn đầu tư thực hiện của doanh nghiệp có vốn nhà nước</t>
  </si>
  <si>
    <t>Tổng doanh thu</t>
  </si>
  <si>
    <t>Tổng tài sản</t>
  </si>
  <si>
    <t>Tổng vốn chủ sở hữu</t>
  </si>
  <si>
    <t>Tổng lỗ</t>
  </si>
  <si>
    <t>Tổng đóng góp ngân sách nhà nước</t>
  </si>
  <si>
    <t>Tổng ngân sách nhà nước hỗ trợ doanh nghiệp nhỏ và vừa</t>
  </si>
  <si>
    <t>PHÁT TRIỂN KINH TẾ TẬP THỂ</t>
  </si>
  <si>
    <t>Hợp tác xã</t>
  </si>
  <si>
    <t>Tổng số  hợp tác xã</t>
  </si>
  <si>
    <t>Số hợp tác xã thành lập mới</t>
  </si>
  <si>
    <t>Số hợp tác xã giải thể</t>
  </si>
  <si>
    <t>Tổng số thành viên hợp tác xã</t>
  </si>
  <si>
    <t>Tổng số lao động trong hợp tác xã</t>
  </si>
  <si>
    <t>Trong đó: Số lao động là thành viên hợp tác xã</t>
  </si>
  <si>
    <t>Liên hiệp hợp tác xã</t>
  </si>
  <si>
    <t>Tổng số liên hiệp hợp tác xã</t>
  </si>
  <si>
    <t>Trong đó: Số liên hiệp hợp tác xã thành lập mới</t>
  </si>
  <si>
    <t xml:space="preserve">Tổ hợp tác </t>
  </si>
  <si>
    <t>Tổng số tổ hợp tác</t>
  </si>
  <si>
    <t>Tổ hợp tác</t>
  </si>
  <si>
    <t>Trong đó: Số tổ hợp tác đăng ký chứng thực</t>
  </si>
  <si>
    <t xml:space="preserve">Tổng số thành viên tổ hợp tác </t>
  </si>
  <si>
    <t>Thành viên</t>
  </si>
  <si>
    <t>Tỉnh, thành phố ……….</t>
  </si>
  <si>
    <t>Biểu số 6</t>
  </si>
  <si>
    <t>ĐẦU TƯ TRỰC TIẾP NƯỚC NGOÀI</t>
  </si>
  <si>
    <t>Mã chỉ tiêu</t>
  </si>
  <si>
    <t>Đơn vị tính</t>
  </si>
  <si>
    <t>Tình hình thực hiện</t>
  </si>
  <si>
    <t>A1</t>
  </si>
  <si>
    <t>Vốn đầu tư thực hiện</t>
  </si>
  <si>
    <t>A2</t>
  </si>
  <si>
    <t xml:space="preserve">   Trong đó, từ nước ngoài</t>
  </si>
  <si>
    <t>A3</t>
  </si>
  <si>
    <t>Doanh thu</t>
  </si>
  <si>
    <t>A4</t>
  </si>
  <si>
    <t>Số lao động</t>
  </si>
  <si>
    <t>A5</t>
  </si>
  <si>
    <t>Nộp ngân sách</t>
  </si>
  <si>
    <t>Tình hình cấp GCNĐT</t>
  </si>
  <si>
    <t>B1</t>
  </si>
  <si>
    <t>Cấp mới</t>
  </si>
  <si>
    <t>B11</t>
  </si>
  <si>
    <t>Số dự án</t>
  </si>
  <si>
    <t>Dự án</t>
  </si>
  <si>
    <t>B12</t>
  </si>
  <si>
    <t>Vốn đầu tư đăng ký mới</t>
  </si>
  <si>
    <t>B2</t>
  </si>
  <si>
    <t>Điều chỉnh vốn</t>
  </si>
  <si>
    <t>B21</t>
  </si>
  <si>
    <t>Số lượt dự án điều chỉnh tăng vốn</t>
  </si>
  <si>
    <t>lượt dự án</t>
  </si>
  <si>
    <t>B22</t>
  </si>
  <si>
    <t>Vốn đầu tư điều chỉnh tăng</t>
  </si>
  <si>
    <t>B23</t>
  </si>
  <si>
    <t>Số lượt dự án điều chỉnh giảm vốn</t>
  </si>
  <si>
    <t>B24</t>
  </si>
  <si>
    <t>Vốn đầu tư điều chỉnh giảm</t>
  </si>
  <si>
    <t>B3</t>
  </si>
  <si>
    <t>Vốn đăng ký cấp mới và tăng thêm</t>
  </si>
  <si>
    <t>Tình hình thu hồi GCNĐT</t>
  </si>
  <si>
    <t>C1</t>
  </si>
  <si>
    <t>C2</t>
  </si>
  <si>
    <t>Vốn đăng ký</t>
  </si>
  <si>
    <t>Tình hình tiếp nhận</t>
  </si>
  <si>
    <t>D1</t>
  </si>
  <si>
    <t>Số dự án tiếp nhận</t>
  </si>
  <si>
    <t>D2</t>
  </si>
  <si>
    <t>Vốn đăng ký của các dự án tiếp nhận</t>
  </si>
  <si>
    <t>Trong đó, đã cấp GCNĐT</t>
  </si>
  <si>
    <t>D3</t>
  </si>
  <si>
    <t>D4</t>
  </si>
  <si>
    <t>Chưa cấp</t>
  </si>
  <si>
    <t>D5</t>
  </si>
  <si>
    <t>D6</t>
  </si>
  <si>
    <t xml:space="preserve">Vốn đăng ký </t>
  </si>
  <si>
    <t>Chú thích</t>
  </si>
  <si>
    <t>(*) Không áp dụng</t>
  </si>
  <si>
    <t>B21 và B23 ghi số lượt điều chỉnh vốn (ví dụ 1 dự án điều chỉnh vốn 2 lần trong kỳ báo cáo thì tính là 2 lượt)</t>
  </si>
  <si>
    <t>D1=D3+D5; D2=D4+D6</t>
  </si>
  <si>
    <t>Biểu số 9</t>
  </si>
  <si>
    <t xml:space="preserve">TÌNH HÌNH THỰC HIỆN CÁC DỰ ÁN NHÓM A SỬ DỤNG VỐN ĐẦU TƯ PHÁT TRIỂN NGUỒN NSNN KẾ HOẠCH NĂM 2011 VÀ NHU CẦU NĂM 2012 </t>
  </si>
  <si>
    <t>Đơn vị: Tỷ đồng</t>
  </si>
  <si>
    <t>Danh mục công trình, dự án</t>
  </si>
  <si>
    <t>Địa điểm XD</t>
  </si>
  <si>
    <t>Năng lực thiết kế</t>
  </si>
  <si>
    <t>Thời gian KC-HT</t>
  </si>
  <si>
    <t>Quyết định đầu tư</t>
  </si>
  <si>
    <t>Lũy kế khối lượng thực hiện đến 31/12/2010</t>
  </si>
  <si>
    <t>Lũy kế giải ngân đến 31/01/2011</t>
  </si>
  <si>
    <t>Kế hoạch năm 2012</t>
  </si>
  <si>
    <t>Khối lượng thực hiện từ 01/01/2012 đến 30/6/2012</t>
  </si>
  <si>
    <t>Giải ngân từ 01/01/2012 đến 30/06/2012</t>
  </si>
  <si>
    <t>Ước khối lượng thực hiện kế hoạch năm 2012 đến 31/12/2012</t>
  </si>
  <si>
    <t>Ước giải ngân kế hoạch năm 2012 đến 31/01/2012</t>
  </si>
  <si>
    <t>Nhu cầu năm 2013</t>
  </si>
  <si>
    <t>Ghi chú</t>
  </si>
  <si>
    <t xml:space="preserve">Số quyết định </t>
  </si>
  <si>
    <t xml:space="preserve">TMĐT </t>
  </si>
  <si>
    <t>Tổng số</t>
  </si>
  <si>
    <t>Trong đó: vốn đầu tư phát triển nguồn NSNN</t>
  </si>
  <si>
    <t>Trong đó: Đầu tư từ NSNN</t>
  </si>
  <si>
    <t>Trong đó: vốn ĐTPT nguồn NSNN</t>
  </si>
  <si>
    <t>Trong nước</t>
  </si>
  <si>
    <t>Ngoài nước</t>
  </si>
  <si>
    <t>TỔNG SỐ</t>
  </si>
  <si>
    <t>Ngành/Chương trình ………</t>
  </si>
  <si>
    <t>Dự án ...</t>
  </si>
  <si>
    <t>………..</t>
  </si>
  <si>
    <t>………</t>
  </si>
  <si>
    <t>Các dự án chuyển tiếp</t>
  </si>
  <si>
    <t>Nhóm A</t>
  </si>
  <si>
    <t>Nhóm ….</t>
  </si>
  <si>
    <t>……………</t>
  </si>
  <si>
    <t>Giải thích thông tin ghi các cột:</t>
  </si>
  <si>
    <t>Cột (1) là số thứ tự</t>
  </si>
  <si>
    <t xml:space="preserve">Cột (2) là danh mục các dự án nhóm A sử dụng vốn đầu tư phát triển nguồn NSNN </t>
  </si>
  <si>
    <t>Cột (3) là địa điểm xây dựng</t>
  </si>
  <si>
    <t>Cột (4) là năng lực thiết kế của dự án</t>
  </si>
  <si>
    <t>Cột (5) là thời gian khởi công - hoàn thành theo quyết định đầu tư</t>
  </si>
  <si>
    <t>Cột (6) là số quyết định đầu tư, ghi rõ số, kí hiệu và ngày, tháng, năm ban hành (nếu có nhiều quyết định đầu tư đề nghị ghi đầy đủ tất cả các quyết định đầu tư)</t>
  </si>
  <si>
    <t>Cột (7) là tổng mức đầu tư của dự án sử dụng nhiều nguồn vốn theo quyết định đầu tư được phê duyệt</t>
  </si>
  <si>
    <t>Cột (8) là tổng số vốn đầu tư phát triển nguồn NSNN trong tổng mức đầu tư theo quyết định đầu tư được phê duyệt</t>
  </si>
  <si>
    <t>Cột (9) là số vốn đầu tư phát triển nguồn vốn NSNN (phần vốn trong nước) trong tổng mức đầu tư theo quyết định đầu tư được phê duyệt</t>
  </si>
  <si>
    <t>Cột (10) là số vốn đầu tư phát triển nguồn vốn NSNN (phần vốn ngoài nước) trong tổng mức đầu tư theo quyết định đầu tư được phê duyệt</t>
  </si>
  <si>
    <t xml:space="preserve">Cột (11) là tổng số các nguồn vốn bố trí cho dự án trong kế hoạch năm 2012 </t>
  </si>
  <si>
    <t xml:space="preserve">Cột (12) là tổng số vốn đầu tư phát triển nguồn NSNN bố trí cho dự án trong kế hoạch năm 2012 </t>
  </si>
  <si>
    <t xml:space="preserve">Cột (13) là số vốn đầu tư phát triển nguồn NSNN (phần vốn trong nước) bố trí cho dự án trong kế hoạch năm 2012 </t>
  </si>
  <si>
    <t>Cột (14) là số vốn đầu tư phát triển nguồn NSNN (phần vốn ngoài nước) bố trí cho dự án trong kế hoạch năm 2012</t>
  </si>
  <si>
    <t>Cột (15) là tổng số khối lượng thực hiện các nguồn vốn kế hoạch năm 2012 từ 01/01/2012 đến 30/6/2012</t>
  </si>
  <si>
    <t>Cột (16) là tổng số khối lượng thực hiện nguồn vốn NSNN kế hoạch năm 2012 từ 01/01/2012 đến 30/6/2012</t>
  </si>
  <si>
    <t>Cột (17) là khối lượng thực hiện phần vốn NSNN trong nước kế hoạch năm 2012 từ 01/01/2012 đến 30/6/2012</t>
  </si>
  <si>
    <t>Cột (18) là khối lượng thực hiện phần vốn NSNN nước ngoài kế hoạch năm 2012 từ 01/01/2012 đến 30/6/2012</t>
  </si>
  <si>
    <t>Cột (19) là tổng số giải ngân các nguồn vốn kế hoạch năm 2012 từ 01/01/2012 đến 30/6/2012</t>
  </si>
  <si>
    <t>Cột (20) là tổng số giải ngân nguồn vốn NSNN kế hoạch năm 2012 từ 01/01/2012 đến 30/6/2012</t>
  </si>
  <si>
    <t>Cột (21) là giải ngân phần vốn NSNN trong nước kế hoạch năm 2012 từ 01/01/2012 đến 30/6/2012</t>
  </si>
  <si>
    <t>Cột (22) là giải ngân phần vốn NSNN nước ngoài kế hoạch năm 2012 từ 01/01/2012 đến 30/6/2012</t>
  </si>
  <si>
    <t>Cột (23) là tổng số khối lượng thực hiện các nguồn vốn kế hoạch năm 2012 từ 01/01/2012 đến 31/12/2012</t>
  </si>
  <si>
    <t>Cột (24) là tổng số khối lượng thực hiện nguồn vốn NSNN kế hoạch năm 2012 từ 01/01/2012 đến 31/12/2012</t>
  </si>
  <si>
    <t>Cột (25) là khối lượng thực hiện phần vốn NSNN trong nước kế hoạch năm 2012 từ 01/01/2012 đến 31/12/2012</t>
  </si>
  <si>
    <t>Cột (26) là khối lượng thực hiện phần vốn NSNN nước ngoài kế hoạch năm 2012 từ 01/01/2012 đến 31/12/2012</t>
  </si>
  <si>
    <t>Cột (27) là tổng số giải ngân các nguồn vốn kế hoạch năm 2012 từ 01/01/2012 đến 31/01/2013</t>
  </si>
  <si>
    <t>Cột (28) là tổng số giải ngân nguồn vốn NSNN kế hoạch năm 2012 từ 01/01/2012 đến 31/01/2013</t>
  </si>
  <si>
    <t>Cột (29) là giải ngân phần vốn NSNN trong nước kế hoạch năm 2012 từ 01/01/2012 đến 31/01/2013</t>
  </si>
  <si>
    <t>Cột (30) là giải ngân phần vốn NSNN nước ngoài kế hoạch năm 2012 từ 01/01/2012 đến 31/01/2013</t>
  </si>
  <si>
    <t>Cột (31) là tổng nhu cầu các nguồn vốn năm 2013</t>
  </si>
  <si>
    <t>Cột (32) là nhu cầu vốn NSNN năm 2013</t>
  </si>
  <si>
    <t>Cột (33) là nhu cầu phần vốn NSNN trong nước năm 2013</t>
  </si>
  <si>
    <t>Cột (34) là nhu cầu phần vốn NSNN nước ngoài năm 2013</t>
  </si>
  <si>
    <t>Cột (35) là ghi chú các nội dung khác</t>
  </si>
  <si>
    <t>Biểu số 10</t>
  </si>
  <si>
    <t>TÌNH HÌNH THỰC HIỆN VÀ GIẢI NGÂN NGUỒN VỐN TRÁI PHIẾU CHÍNH PHỦ KẾ HOẠCH NĂM 2012 VÀ DỰ KIẾN KẾ HOẠCH NĂM 2013</t>
  </si>
  <si>
    <t>Tên công trình, dự án</t>
  </si>
  <si>
    <t>Quyết định đầu tư 
điều chỉnh</t>
  </si>
  <si>
    <t>Lũy kế vốn đã bố trí đến 31/12/2011</t>
  </si>
  <si>
    <t>Khối lượng thực hiện từ KC đến 31/12/2011</t>
  </si>
  <si>
    <t>Giải ngân từ KC đến 31/01/2012</t>
  </si>
  <si>
    <t>Kế hoạch
năm 2012</t>
  </si>
  <si>
    <t>Thực hiện từ 1/1/2012
đến 30/6/2012</t>
  </si>
  <si>
    <t>Ước thực hiện cả năm 2012</t>
  </si>
  <si>
    <t>Dự kiến kế hoạch 2013</t>
  </si>
  <si>
    <t>Khối lượng thực hiện từ 1/1/2012
đến 30/6/2012</t>
  </si>
  <si>
    <t>Giải ngân từ 1/1/2012
đến 30/6/2012</t>
  </si>
  <si>
    <t>Khối lượng thực hiện năm 2012</t>
  </si>
  <si>
    <t>Giải ngân năm 2012</t>
  </si>
  <si>
    <t>Trong đó: phần sử dụng TPCP</t>
  </si>
  <si>
    <t>Trong đó: TPCP</t>
  </si>
  <si>
    <t>Ngành………</t>
  </si>
  <si>
    <t>Ngành…………</t>
  </si>
  <si>
    <t>Cột (2) là tên các dự án, phân theo các ngành, lĩnh vực hoặc chương trình cụ thể</t>
  </si>
  <si>
    <t>Cột (4) là năng lực thiết kế</t>
  </si>
  <si>
    <t>Cột (6) là số quyết định đầu tư ban đầu, ghi rõ số, kí hiệu và ngày, tháng, năm ban hành</t>
  </si>
  <si>
    <t>Cột (7) là tổng mức đầu tư của dự án theo quyết định đầu tư ban đầu</t>
  </si>
  <si>
    <t>Cột (8) là phần sử dụng vốn trái phiếu chính phủ (TPCP) trong tổng mức đầu tư theo quyết định đầu tư ban đầu</t>
  </si>
  <si>
    <t>Cột (9) là số quyết định đầu tư điều chỉnh (nếu có), ghi rõ số, kí hiệu và ngày, tháng, năm ban hành (nếu điều chỉnh bằng nhiều quyết định đầu tư, ghi đầy đủ tất cả số quyết định đầu tư đã điều chỉnh)</t>
  </si>
  <si>
    <t>Cột (10) là tổng mức đầu tư điều chỉnh (nếu có) cuối cùng của dự án</t>
  </si>
  <si>
    <t>Cột (11) là phần sử dụng vốn trái phiếu chính phủ (TPCP) điều chỉnh cuối cùng (nếu có) trong tổng mức đầu tư (trong đó ghi chú rõ điều chỉnh tăng quy mô dự án là bao nhiêu so với tổng mức đầu tư ban đầu)</t>
  </si>
  <si>
    <t>Cột (12) là lũy kế các nguồn vốn bố trí cho dự án đến 31/12/2011 (bao gồm số vốn ứng trước các năm sau chưa hoàn trả trong kế hoạch, nếu dự án được ứng trước ghi thêm số ứng trước vào cột ghi chú)</t>
  </si>
  <si>
    <t>Cột (13) là lũy kế vốn TPCP bố trí cho dự án đến 31/12/2011 (bao gồm số vốn trái phiếu Chính phủ ứng trước các năm sau chưa hoàn trả trong kế hoạch, nếu dự án được ứng trước ghi cụ thể số vốn ứng trước vào cột ghi chú)</t>
  </si>
  <si>
    <t>Cột (14) là khối lượng thực hiện dự án từ khởi công đến 31/12/2011</t>
  </si>
  <si>
    <t>Cột (15) là khối lượng thực hiện phần sử dụng vốn TPCP từ khởi công đến 31/12/2011</t>
  </si>
  <si>
    <t>Cột (16) là giải ngân các nguồn vốn từ khởi công đến 31/01/2012 (bao gồm cả giải ngân số vốn ứng trước các năm sau chưa hoàn trả trong kế hoạch, ghi rõ số giải ngân phần ứng trước trong cột ghi chú)</t>
  </si>
  <si>
    <t>Cột (17) là giải ngân phần vốn TPCP từ khởi công đến 31/01/2012 (bao gồm cả giải ngân số vốn TPCP ứng trước các năm sau chưa hoàn trả trong kế hoạch, ghi rõ số giải ngân TPCP ứng trước trong cột ghi chú)</t>
  </si>
  <si>
    <t>Cột (18) là tổng số các nguồn vốn bố trí kế hoạch năm 2012</t>
  </si>
  <si>
    <t xml:space="preserve">Cột (19) là kế hoạch vốn trái phiếu Chính phủ năm 2012 </t>
  </si>
  <si>
    <t>Cột (20) là khối lượng thực hiện các nguồn vốn của từng dự án từ 1/1/2012 đến 30/6/2012</t>
  </si>
  <si>
    <t>Cột (21) là khối lượng thực hiện phần vốn TPCP kế hoạch năm 2012 từ 1/1/2012 đến 30/6/2012</t>
  </si>
  <si>
    <t>Cột (22) là giải ngân từng dự án từ các nguồn vốn từ 1/1/2012 đến 30/6/2012</t>
  </si>
  <si>
    <t>Cột (23) là giải ngân phần vốn TPCP kế hoạch năm 2012 từ 1/1/2012 đến 30/6/2012</t>
  </si>
  <si>
    <t>Cột (24) là lũy kế khối lượng thực hiện từng dự án từ các nguồn vốn từ 1/1/2012 đến hết năm 2012</t>
  </si>
  <si>
    <t>Cột (25) là khối lượng thực hiện phần vốn TPCP kế hoạch năm 2012 từ 1/1/2012 đến hết năm 2012</t>
  </si>
  <si>
    <t>Cột (26) là lũy kế giải ngân từng dự án từ các nguồn vốn từ 1/1/2012 đến hết năm 2012</t>
  </si>
  <si>
    <t>Cột (27) là lũy kế giải ngân phần vốn TPCP kế hoạch năm 2012 từ 1/1/2012 đến hết năm 2012</t>
  </si>
  <si>
    <t>Cột (28) là nhu cầu các nguồn vốn cho từng dự án năm 2013</t>
  </si>
  <si>
    <t>Cột (29) là nhu cầu vốn TPCP cho từng dự án năm 2013</t>
  </si>
  <si>
    <t>Cột (30) ghi chú</t>
  </si>
  <si>
    <t>Biểu số 11</t>
  </si>
  <si>
    <t>Tỉnh, Thành phố:……………</t>
  </si>
  <si>
    <t>DANH MỤC CÁC DỰ ÁN TẠM ỨNG VỐN NGUỒN HỖ TRỢ MỤC TIÊU VÀ SỐ THU HỒI TRONG KẾ HOẠCH NĂM 2012</t>
  </si>
  <si>
    <t>STT</t>
  </si>
  <si>
    <t>Danh mục</t>
  </si>
  <si>
    <t>Tổng số 
tạm ứng đến tháng 6/2012</t>
  </si>
  <si>
    <t>Số tạm ứng 
chưa hoàn trả (đến tháng 6/2012)</t>
  </si>
  <si>
    <t>Nội dung và văn bản ứng vốn liên quan</t>
  </si>
  <si>
    <t>Số đề nghị
 thu hồi trong kế hoạch năm 2013</t>
  </si>
  <si>
    <t>Số còn lại
 phải thu hồi các năm sau</t>
  </si>
  <si>
    <t>Nguồn thu hồi</t>
  </si>
  <si>
    <r>
      <rPr>
        <b/>
        <sz val="12"/>
        <rFont val="Times New Roman"/>
        <family val="1"/>
      </rPr>
      <t xml:space="preserve">Số Công văn
 </t>
    </r>
    <r>
      <rPr>
        <sz val="12"/>
        <rFont val="Times New Roman"/>
        <family val="1"/>
      </rPr>
      <t>(của Chính phủ, Bộ KH, Bộ TC)</t>
    </r>
  </si>
  <si>
    <r>
      <rPr>
        <b/>
        <sz val="12"/>
        <rFont val="Times New Roman"/>
        <family val="1"/>
      </rPr>
      <t xml:space="preserve">Nội dung 
</t>
    </r>
    <r>
      <rPr>
        <sz val="12"/>
        <rFont val="Times New Roman"/>
        <family val="1"/>
      </rPr>
      <t>(nội dung chỉ đạo của lãnh đạo Đảng, Nhà nước)</t>
    </r>
  </si>
  <si>
    <t>8=4-7</t>
  </si>
  <si>
    <t>Tỉnh …</t>
  </si>
  <si>
    <t>Dự án/ công trình …</t>
  </si>
  <si>
    <t>Biểu số 12</t>
  </si>
  <si>
    <t>NỢ XÂY DỰNG CƠ BẢN NGUỒN VỐN NSNN DO ĐỊA PHƯƠNG QUẢN LÝ</t>
  </si>
  <si>
    <t>Địa điểm 
xây dựng</t>
  </si>
  <si>
    <t>Năng lực
thiết kế</t>
  </si>
  <si>
    <t xml:space="preserve"> Tổng dự toán được duyệt</t>
  </si>
  <si>
    <t>Đã thực 
hiện đến 31/12/2011</t>
  </si>
  <si>
    <t>Đã thanh toán đến 31/12/2011</t>
  </si>
  <si>
    <t>Đã bố trí kế hoạch 2012 (để thanh toán nợ)</t>
  </si>
  <si>
    <t>Kế hoạch năm 2013</t>
  </si>
  <si>
    <t>Số nợ còn lại</t>
  </si>
  <si>
    <t>Nợ XDCB từ nguồn ngân sách theo kế hoạch nhà nước giao</t>
  </si>
  <si>
    <t>Ngành Giao thông</t>
  </si>
  <si>
    <t>Dự án hoàn thành</t>
  </si>
  <si>
    <t xml:space="preserve"> - Dự án …</t>
  </si>
  <si>
    <t>Dự án chuyển tiếp:</t>
  </si>
  <si>
    <t>- Dự án .......</t>
  </si>
  <si>
    <t>Ngành Nông nghiệp, thủy lợi</t>
  </si>
  <si>
    <t>Ngành ….</t>
  </si>
  <si>
    <t xml:space="preserve"> (Ghi tương tự như trên)</t>
  </si>
  <si>
    <t>Nợ XDCB từ nguồn vay kho bạc nhà nước và các khoản nợ XDCB từ nguồn ngân sách khác</t>
  </si>
  <si>
    <t>Tổng doanh thu của hợp tác xã</t>
  </si>
  <si>
    <t>Trong đó: doanh thu của HTX từ thành viên</t>
  </si>
  <si>
    <t>Thu nhập bình quân người lao động hợp tác xã</t>
  </si>
  <si>
    <t>Số xã, phường, thị trấn đạt tiêu chuẩn phù hợp với trẻ em</t>
  </si>
  <si>
    <t>Tỷ lệ xã, phường, thị trấn đạt tiêu chuẩn xã, phường phù hợp với trẻ em</t>
  </si>
  <si>
    <t>Số lượt góp vốn, mua cổ phần</t>
  </si>
  <si>
    <t>Giá trị góp vốn</t>
  </si>
  <si>
    <t>43=B12+B22-B24+B32</t>
  </si>
  <si>
    <t>B31</t>
  </si>
  <si>
    <t>B32</t>
  </si>
  <si>
    <t>B4</t>
  </si>
  <si>
    <t>Vốn cấp mới, tăng thêm và GVMCP</t>
  </si>
  <si>
    <t>Số hộ được sử dụng nước hợp vệ sinh</t>
  </si>
  <si>
    <t>Tỷ lệ hộ được sử dụng nước hợp vệ sinh</t>
  </si>
  <si>
    <t>- Sản lượng cà phê nhân</t>
  </si>
  <si>
    <t>Điện sản xuất</t>
  </si>
  <si>
    <t>Than đá</t>
  </si>
  <si>
    <t>Đá xây dựng khác</t>
  </si>
  <si>
    <t>Trang in offset</t>
  </si>
  <si>
    <t>Thức ăn gia súc, gia cầm</t>
  </si>
  <si>
    <t>Thu gom rác thải</t>
  </si>
  <si>
    <t>Triệu Kwh</t>
  </si>
  <si>
    <t>1000 tấn</t>
  </si>
  <si>
    <t>Triệu viên</t>
  </si>
  <si>
    <t>Triệu m3</t>
  </si>
  <si>
    <t>Triệu trang</t>
  </si>
  <si>
    <t>Tấn</t>
  </si>
  <si>
    <t xml:space="preserve"> + Máy móc thiết bị</t>
  </si>
  <si>
    <t xml:space="preserve"> + Nông lâm thổ sản các loại</t>
  </si>
  <si>
    <t>Tỉnh Điện Biên</t>
  </si>
  <si>
    <r>
      <t>Tổng giá trị sản xuất</t>
    </r>
    <r>
      <rPr>
        <sz val="12"/>
        <rFont val="Times New Roman"/>
        <family val="1"/>
      </rPr>
      <t xml:space="preserve"> 
(Theo giá so sánh 2010)</t>
    </r>
  </si>
  <si>
    <t>Thực hiện 6 tháng</t>
  </si>
  <si>
    <r>
      <t xml:space="preserve">Cơ cấu Tổng giá trị gia tăng theo ngành kinh tế </t>
    </r>
    <r>
      <rPr>
        <b/>
        <i/>
        <sz val="12"/>
        <rFont val="Times New Roman"/>
        <family val="1"/>
      </rPr>
      <t>(giá hiện hành)</t>
    </r>
  </si>
  <si>
    <t>Lượt hộ</t>
  </si>
  <si>
    <r>
      <t xml:space="preserve">GIẢM NGHÈO 
</t>
    </r>
    <r>
      <rPr>
        <sz val="12"/>
        <rFont val="Times New Roman"/>
        <family val="1"/>
      </rPr>
      <t>(theo chuẩn nghèo tiếp cận đa chiều)</t>
    </r>
  </si>
  <si>
    <t>Hỗ trợ đầu tư theo các chương trình mục tiêu, chương trình mục tiêu quốc gia từ Ngân sách Trung ương; ODA; TPCP</t>
  </si>
  <si>
    <t>Năm 2018</t>
  </si>
  <si>
    <t>Ước thực hiện 2018 so với thực hiện 2017 (%)</t>
  </si>
  <si>
    <t>Kế hoạch 2019</t>
  </si>
  <si>
    <t>Kế hoạch 2019 so với ước thực hiện 2018 (%)</t>
  </si>
  <si>
    <t>Thực hiện  2017</t>
  </si>
  <si>
    <t>Bội chi ngân sách</t>
  </si>
  <si>
    <t>Tỷ lệ tử vong của trẻ em dưới 5 tuổi</t>
  </si>
  <si>
    <t>Tốc độ tăng trưởng</t>
  </si>
  <si>
    <t>10=9/8</t>
  </si>
  <si>
    <t>- Sản lượng chè búp</t>
  </si>
  <si>
    <t>- Sản lượng mủ cao su (quy khô)</t>
  </si>
  <si>
    <t xml:space="preserve"> Chăn nuôi - Sản phẩm chăn nuôi chủ yếu</t>
  </si>
  <si>
    <t>- Đàn trâu</t>
  </si>
  <si>
    <t>Con</t>
  </si>
  <si>
    <t>- Đàn bò</t>
  </si>
  <si>
    <t>- Đàn lợn</t>
  </si>
  <si>
    <t>- Đàn gia cầm</t>
  </si>
  <si>
    <t>Tổng số xã đạt và cơ bản đạt chuẩn nông thôn mới</t>
  </si>
  <si>
    <t xml:space="preserve"> +</t>
  </si>
  <si>
    <t>Số xã cơ bản đạt chuẩn nông thôn mới</t>
  </si>
  <si>
    <t>Tỷ lệ số xã đạt và cơ bản đạt chuẩn nông thôn mới</t>
  </si>
  <si>
    <t>123</t>
  </si>
  <si>
    <t>99,6</t>
  </si>
  <si>
    <t>77</t>
  </si>
  <si>
    <t>75</t>
  </si>
  <si>
    <t>108</t>
  </si>
  <si>
    <t xml:space="preserve"> Ghi chú: - Số DNNN và có DN có vốn Nhà nước chỉ tính số DN thuộc tỉnh Điện Biên
            - Số HTX năm 2018 cao hơn kế hoạch là do có số HTX dự kiến giải thể (bắt buộc) nhưng không có khả năng thực hiện được so với kế hoạch đề ra </t>
  </si>
  <si>
    <t xml:space="preserve"> Vốn ngoài nhà nước và khu vực DNTN</t>
  </si>
  <si>
    <t>1000 m3</t>
  </si>
  <si>
    <t xml:space="preserve">Gạch xây </t>
  </si>
  <si>
    <t xml:space="preserve"> Nước máy sản xuất</t>
  </si>
  <si>
    <t xml:space="preserve"> Xi măng </t>
  </si>
  <si>
    <t>Tr. Đồng</t>
  </si>
  <si>
    <t xml:space="preserve"> - Mặt hàng xuất khẩu chủ yếu</t>
  </si>
  <si>
    <t xml:space="preserve"> + Xi măng các loại</t>
  </si>
  <si>
    <t>Tr.USD</t>
  </si>
  <si>
    <t>Trong đó: Xi măng Điện Biên</t>
  </si>
  <si>
    <t>Ng. Tấn</t>
  </si>
  <si>
    <t xml:space="preserve"> + Thép xây dựng các loại</t>
  </si>
  <si>
    <t xml:space="preserve"> + Hàng hóa khác </t>
  </si>
  <si>
    <t xml:space="preserve"> - Mặt hàng nhập khẩu chủ yếu</t>
  </si>
  <si>
    <t xml:space="preserve">Tr.USD </t>
  </si>
  <si>
    <t xml:space="preserve"> + Hàng khác </t>
  </si>
  <si>
    <t>VẬN TẢI</t>
  </si>
  <si>
    <t>Vận tải hành khách</t>
  </si>
  <si>
    <t xml:space="preserve"> - Hành khách vận chuyển </t>
  </si>
  <si>
    <t>1000 người</t>
  </si>
  <si>
    <t xml:space="preserve"> - Hành khách luân chuyển </t>
  </si>
  <si>
    <t>1000 ng.Km</t>
  </si>
  <si>
    <t xml:space="preserve"> Vận tải hàng hoá</t>
  </si>
  <si>
    <t xml:space="preserve"> - Hàng hoá vận chuyển</t>
  </si>
  <si>
    <t xml:space="preserve"> 1000 tấn</t>
  </si>
  <si>
    <t xml:space="preserve"> - Hành hoá luân chuyển </t>
  </si>
  <si>
    <t>1000 tấn.Km</t>
  </si>
  <si>
    <t>Vốn ngân sách nhà nước</t>
  </si>
  <si>
    <t>Liên hiệp
 hợp tác xã</t>
  </si>
  <si>
    <t>Viện trợ</t>
  </si>
  <si>
    <t>ĐVT</t>
  </si>
  <si>
    <t>Năm 2017</t>
  </si>
  <si>
    <t>So sánh</t>
  </si>
  <si>
    <t>Trong đó</t>
  </si>
  <si>
    <t>2018/2017</t>
  </si>
  <si>
    <t>Điện Biên</t>
  </si>
  <si>
    <t>T.Giáo</t>
  </si>
  <si>
    <t>ĐBĐ</t>
  </si>
  <si>
    <t>M.Chà</t>
  </si>
  <si>
    <t>TXML</t>
  </si>
  <si>
    <t>Tổng SLLT có hạt</t>
  </si>
  <si>
    <t>Diện tích</t>
  </si>
  <si>
    <t>Ha</t>
  </si>
  <si>
    <t>a</t>
  </si>
  <si>
    <t xml:space="preserve"> -</t>
  </si>
  <si>
    <t>b</t>
  </si>
  <si>
    <t>c</t>
  </si>
  <si>
    <t xml:space="preserve"> Chăn nuôi</t>
  </si>
  <si>
    <t>con</t>
  </si>
  <si>
    <t xml:space="preserve"> Thuỷ sản</t>
  </si>
  <si>
    <t xml:space="preserve"> Diện tích nuôi trồng</t>
  </si>
  <si>
    <t>Bản</t>
  </si>
  <si>
    <t>Biểu số 2.2</t>
  </si>
  <si>
    <t>So sánh (%)</t>
  </si>
  <si>
    <t xml:space="preserve">Kế hoạch </t>
  </si>
  <si>
    <t>Đ.Biên</t>
  </si>
  <si>
    <t>M.Ảng</t>
  </si>
  <si>
    <t>M.Nhé</t>
  </si>
  <si>
    <t>T.Chùa</t>
  </si>
  <si>
    <t>TPĐBP</t>
  </si>
  <si>
    <t>N.Pồ</t>
  </si>
  <si>
    <t>Giá trị sản xuất công nghiệp (giá SS 2010)</t>
  </si>
  <si>
    <t>Công nghiệp khai thác</t>
  </si>
  <si>
    <t>Công nghiệp chế biến</t>
  </si>
  <si>
    <t>Sản xuất, phân phối điện, khí đốt</t>
  </si>
  <si>
    <t xml:space="preserve"> Cung cấp nước, xử lý rác thải</t>
  </si>
  <si>
    <t>Sản lượng một số sản phẩm công nghiệp chủ yếu:</t>
  </si>
  <si>
    <t>Tỷ Kwh</t>
  </si>
  <si>
    <t>Than sạch</t>
  </si>
  <si>
    <t>tỷ đồng</t>
  </si>
  <si>
    <t>THƯƠNG MẠI</t>
  </si>
  <si>
    <t>- Tổng mức bán lẻ hàng hoá và dịch vụ (giá hiện hành)</t>
  </si>
  <si>
    <t>- Doanh thu ngành dịch vụ (giá hiện hành)</t>
  </si>
  <si>
    <t>+ Tài chính - ngân hàng</t>
  </si>
  <si>
    <t>+ Vận tải</t>
  </si>
  <si>
    <t>+ Khách sạn - Nhà hàng - dịch vụ du lịch</t>
  </si>
  <si>
    <t>XUẤT KHẨU</t>
  </si>
  <si>
    <t xml:space="preserve">Tổng kim ngạch xuất khẩu </t>
  </si>
  <si>
    <t xml:space="preserve">Trong đó địa phương thực hiện </t>
  </si>
  <si>
    <t xml:space="preserve"> Mặt hàng xuất khẩu chủ yếu:</t>
  </si>
  <si>
    <t>Xi măng các loại</t>
  </si>
  <si>
    <t>Trong đó Xi măng Điện Biên</t>
  </si>
  <si>
    <t>Thép XD các loại</t>
  </si>
  <si>
    <t>Hàng hóa khác</t>
  </si>
  <si>
    <t>NHẬP KHẨU</t>
  </si>
  <si>
    <t xml:space="preserve">Tổng kim ngạch nhập khẩu </t>
  </si>
  <si>
    <t>Mặt hàng nhập khẩu chủ yếu:</t>
  </si>
  <si>
    <t>Máy móc thiết bị</t>
  </si>
  <si>
    <t>Nông, lâm, thổ sản các loại</t>
  </si>
  <si>
    <t>Hàng khác</t>
  </si>
  <si>
    <t>E</t>
  </si>
  <si>
    <t xml:space="preserve"> </t>
  </si>
  <si>
    <t>Biểu 3.1</t>
  </si>
  <si>
    <t>(Kèm theo công văn số      /SKHĐT-VX ngày     /11/2013 của Sở Kế hoạch và Đầu tư tỉnh Điện Biên)</t>
  </si>
  <si>
    <t xml:space="preserve"> Số TT </t>
  </si>
  <si>
    <t xml:space="preserve"> CHỈ TIÊU</t>
  </si>
  <si>
    <t xml:space="preserve"> Đơn vị tính </t>
  </si>
  <si>
    <t xml:space="preserve"> Phân theo các huyện, thị</t>
  </si>
  <si>
    <t xml:space="preserve">TP Điện Biên Phủ </t>
  </si>
  <si>
    <t xml:space="preserve">Thị xã Mường Lay </t>
  </si>
  <si>
    <t xml:space="preserve">Tuần Giáo </t>
  </si>
  <si>
    <t>Mường Ảng</t>
  </si>
  <si>
    <t>Tủa Chùa</t>
  </si>
  <si>
    <t>Mường Chà</t>
  </si>
  <si>
    <t>Mường Nhé</t>
  </si>
  <si>
    <t xml:space="preserve"> Điện Biên Đông</t>
  </si>
  <si>
    <t>Nậm Pồ</t>
  </si>
  <si>
    <t>2018/
2017</t>
  </si>
  <si>
    <t>DÂN SỐ TRUNG BÌNH</t>
  </si>
  <si>
    <t xml:space="preserve"> Người</t>
  </si>
  <si>
    <t>Trong đó: Nữ</t>
  </si>
  <si>
    <t xml:space="preserve">          - Dân số thành thị</t>
  </si>
  <si>
    <t xml:space="preserve">          - Dân số nông thôn</t>
  </si>
  <si>
    <t xml:space="preserve"> L.Động</t>
  </si>
  <si>
    <t xml:space="preserve">  Tỷ lệ so với dân số</t>
  </si>
  <si>
    <t xml:space="preserve">  - Tr. đó: số người trong độ tuổi LĐ là nữ</t>
  </si>
  <si>
    <t xml:space="preserve"> - Lao động khu vực thành thị</t>
  </si>
  <si>
    <t xml:space="preserve"> - Lao động khu vực nông thôn</t>
  </si>
  <si>
    <t xml:space="preserve">  Tỷ lệ so với lao động trong độ tuổi</t>
  </si>
  <si>
    <t xml:space="preserve">  - Tr.đó: Lực lượng LĐ là Nữ</t>
  </si>
  <si>
    <t xml:space="preserve">  Tỷ lệ so với lực lượng LĐ</t>
  </si>
  <si>
    <t xml:space="preserve">       Tr.đó: Nữ </t>
  </si>
  <si>
    <t xml:space="preserve"> Phân theo các ngành chính</t>
  </si>
  <si>
    <t xml:space="preserve"> Tỷ lệ so với LĐ đang làm việc trong các ngành KTQD</t>
  </si>
  <si>
    <t xml:space="preserve">  Tr.đó: - Tỷ lệ LĐ được đào tạo so với lực lượng lao động</t>
  </si>
  <si>
    <t xml:space="preserve">  Tr.đó: Tỷ lệ lao động qua đào tạo nghề</t>
  </si>
  <si>
    <t xml:space="preserve">  Số LĐ được tạo việc làm mới trong năm</t>
  </si>
  <si>
    <t xml:space="preserve">  Tr.đó: - Số LĐ được tạo việc làm từ Quỹ QG hỗ trợ việc làm</t>
  </si>
  <si>
    <t xml:space="preserve">  - Tạo việc làm từ Xuất khẩu lao động</t>
  </si>
  <si>
    <t>Chăm sóc và bảo vệ trẻ em</t>
  </si>
  <si>
    <t>Tổng số trẻ em có hoàn cảnh đặc biệt</t>
  </si>
  <si>
    <t>Tổng số TE có HCĐBKK được hưởng trợ cấp tại cộng đồng</t>
  </si>
  <si>
    <t>Xã, P</t>
  </si>
  <si>
    <t>Số trẻ em mồ côi được nuôi dưỡng tại TT BTXH tỉnh</t>
  </si>
  <si>
    <t>Số trẻ em mồ côi được nuôi dưỡng tại Làng trẻ em SOS ĐBP</t>
  </si>
  <si>
    <t>Các vấn đề xã hội</t>
  </si>
  <si>
    <t>III.1</t>
  </si>
  <si>
    <t>Trật tự an toàn xã hội</t>
  </si>
  <si>
    <t>Số người lạm dụng ma tuý (có hồ sơ quản lý)</t>
  </si>
  <si>
    <t>Đối tượng</t>
  </si>
  <si>
    <t xml:space="preserve">   Trong đó: Nữ </t>
  </si>
  <si>
    <t xml:space="preserve"> Số người được cai nghiện</t>
  </si>
  <si>
    <t xml:space="preserve"> Trong đó:</t>
  </si>
  <si>
    <t xml:space="preserve">  - Các huyện thị</t>
  </si>
  <si>
    <t xml:space="preserve">  - Các cơ sở khác</t>
  </si>
  <si>
    <t xml:space="preserve">  + TTâm Chữa bệnh - Giáo dục - LĐXH tỉnh</t>
  </si>
  <si>
    <t xml:space="preserve">  + Bộ chỉ huy bộ đội Biên phòng tỉnh</t>
  </si>
  <si>
    <t xml:space="preserve">  + Trại tạm giam Công an tỉnh</t>
  </si>
  <si>
    <t>Số người được điều trị  Methadone</t>
  </si>
  <si>
    <t>Số cơ sở nuôi dưỡng tập trung</t>
  </si>
  <si>
    <t xml:space="preserve"> Cơ sở</t>
  </si>
  <si>
    <t xml:space="preserve"> Tr.đó: - TT Bảo trợ xã hội tỉnh</t>
  </si>
  <si>
    <t>III.2</t>
  </si>
  <si>
    <t>Tổng số hộ cuối năm</t>
  </si>
  <si>
    <t xml:space="preserve"> Hộ</t>
  </si>
  <si>
    <t>ok</t>
  </si>
  <si>
    <t xml:space="preserve"> - Tỷ lệ hộ nghèo</t>
  </si>
  <si>
    <t>III.3</t>
  </si>
  <si>
    <t xml:space="preserve"> Biểu 3.2</t>
  </si>
  <si>
    <t xml:space="preserve"> Đơn vị tính: Người</t>
  </si>
  <si>
    <t>Số 
TT</t>
  </si>
  <si>
    <t>CHỈ TIÊU</t>
  </si>
  <si>
    <t xml:space="preserve">Trường Cao đẳng Sư phạm </t>
  </si>
  <si>
    <t>Chỉ tiêu trong ngân sách</t>
  </si>
  <si>
    <t>Đào tạo chính quy</t>
  </si>
  <si>
    <t xml:space="preserve">     Trong đó: Sư phạm</t>
  </si>
  <si>
    <t xml:space="preserve">    Trong đó: Sư phạm</t>
  </si>
  <si>
    <t xml:space="preserve"> Bồi dưỡng cán bộ, giáo viên và nhân viên nghiệp vụ giáo dục</t>
  </si>
  <si>
    <t xml:space="preserve"> - Thạc sỹ</t>
  </si>
  <si>
    <t xml:space="preserve"> - Đại học</t>
  </si>
  <si>
    <t>Trường Cao đẳng KT-KT Điện Biên</t>
  </si>
  <si>
    <t>Cao đẳng</t>
  </si>
  <si>
    <t xml:space="preserve"> - Tài chính - Ngân hàng</t>
  </si>
  <si>
    <t xml:space="preserve"> - Kế toán</t>
  </si>
  <si>
    <t xml:space="preserve"> - Khoa học cây trồng </t>
  </si>
  <si>
    <t xml:space="preserve"> - Chăn nuôi</t>
  </si>
  <si>
    <t xml:space="preserve"> - Lâm nghiệp</t>
  </si>
  <si>
    <t xml:space="preserve"> - Quản lý Đất đai</t>
  </si>
  <si>
    <t xml:space="preserve"> - Dịch vụ Pháp lý</t>
  </si>
  <si>
    <t xml:space="preserve">Trung cấp </t>
  </si>
  <si>
    <t xml:space="preserve"> - Hành chính - Văn phòng</t>
  </si>
  <si>
    <t xml:space="preserve"> - Pháp luật</t>
  </si>
  <si>
    <t xml:space="preserve"> - Trồng trọt</t>
  </si>
  <si>
    <t xml:space="preserve"> - Chăn nuôi - Thú y</t>
  </si>
  <si>
    <t xml:space="preserve"> - Quản lý Văn hoá</t>
  </si>
  <si>
    <t xml:space="preserve"> - Tin học ứng dụng</t>
  </si>
  <si>
    <t xml:space="preserve"> - Kế toán Doanh nghiệp</t>
  </si>
  <si>
    <t>Chỉ tiêu ngoài ngân sách:</t>
  </si>
  <si>
    <t xml:space="preserve"> - Hành chính văn phòng</t>
  </si>
  <si>
    <t>Bồi dưỡng ngắn hạn</t>
  </si>
  <si>
    <t>Trường Cao đẳng Y tế</t>
  </si>
  <si>
    <t xml:space="preserve">      Trong đó: Lào</t>
  </si>
  <si>
    <t>*</t>
  </si>
  <si>
    <t>Chia các loại hình đào tạo</t>
  </si>
  <si>
    <t xml:space="preserve"> - Điều dưỡng cao đẳng </t>
  </si>
  <si>
    <t xml:space="preserve"> - Y sĩ </t>
  </si>
  <si>
    <t xml:space="preserve"> - Điều dưỡng trung cấp</t>
  </si>
  <si>
    <t xml:space="preserve"> - Điều dưỡng liên thông</t>
  </si>
  <si>
    <t xml:space="preserve"> - Dược sỹ liên thông</t>
  </si>
  <si>
    <t xml:space="preserve"> - Dược sỹ liên thông (Văn bằng 2)</t>
  </si>
  <si>
    <t xml:space="preserve"> - Hộ sinh liên thông</t>
  </si>
  <si>
    <t xml:space="preserve"> Dự kiến đào tạo định hướng các chuyên khoa, đạo tạo lại, đào tạo ngắn hạn</t>
  </si>
  <si>
    <t xml:space="preserve"> - Bác sĩ chuyên khoa cấp II</t>
  </si>
  <si>
    <t xml:space="preserve"> - Liên thông cử nhân Đại học điều dưỡng</t>
  </si>
  <si>
    <t xml:space="preserve"> - Dược sỹ hệ vừa học vừa làm</t>
  </si>
  <si>
    <t xml:space="preserve"> Đào tạo nghề</t>
  </si>
  <si>
    <t xml:space="preserve"> - Cao đẳng </t>
  </si>
  <si>
    <t xml:space="preserve"> - Trung cấp </t>
  </si>
  <si>
    <t xml:space="preserve"> - Sơ cấp nghề và dạy nghề dưới 3 tháng</t>
  </si>
  <si>
    <t xml:space="preserve">   Tr.đó: Dạy nghề cho LĐ nông thôn </t>
  </si>
  <si>
    <t xml:space="preserve"> Phân bổ chi tiết</t>
  </si>
  <si>
    <t xml:space="preserve">Trường Cao đẳng nghề </t>
  </si>
  <si>
    <t xml:space="preserve">  Tr.đó: Dạy nghề cho LĐ nông thôn </t>
  </si>
  <si>
    <t>Thành phố Điện Biên Phủ</t>
  </si>
  <si>
    <t xml:space="preserve"> - Sơ cấp và đào tạo thường xuyên dưới 3 tháng</t>
  </si>
  <si>
    <t xml:space="preserve"> Tr.đó: Dạy nghề cho LĐ nông thôn </t>
  </si>
  <si>
    <t>Thị xã Mường Lay</t>
  </si>
  <si>
    <t>Huyện Điện Biên</t>
  </si>
  <si>
    <t>Huyện Tuần Giáo</t>
  </si>
  <si>
    <t>Huyện Mường Ảng</t>
  </si>
  <si>
    <t>Huyện Tủa Chùa</t>
  </si>
  <si>
    <t>Huyện Mường Chà</t>
  </si>
  <si>
    <t>h</t>
  </si>
  <si>
    <t>Huyện Mường Nhé</t>
  </si>
  <si>
    <t>Huyện Điện Biên Đông</t>
  </si>
  <si>
    <t>Huyện Nậm Pồ</t>
  </si>
  <si>
    <t>Cơ sở dạy nghề khác</t>
  </si>
  <si>
    <t xml:space="preserve"> - Trung cấp</t>
  </si>
  <si>
    <t>Biểu 3.3</t>
  </si>
  <si>
    <t>Số TT</t>
  </si>
  <si>
    <t>Chia theo huyện, thị xã, thành phố</t>
  </si>
  <si>
    <t>Điện Biên Đông</t>
  </si>
  <si>
    <t xml:space="preserve">I </t>
  </si>
  <si>
    <t>Số học sinh có mặt đầu năm học</t>
  </si>
  <si>
    <t>GIÁO DỤC MẦM NON</t>
  </si>
  <si>
    <t>1.1</t>
  </si>
  <si>
    <t>Tổng số trẻ mầm non</t>
  </si>
  <si>
    <t>Cháu</t>
  </si>
  <si>
    <t>- Số cháu vào nhà trẻ</t>
  </si>
  <si>
    <t xml:space="preserve">- Số học sinh mẫu giáo </t>
  </si>
  <si>
    <t>Trẻ</t>
  </si>
  <si>
    <t>- Số trẻ 5 tuổi</t>
  </si>
  <si>
    <t>1.2</t>
  </si>
  <si>
    <t>Tổng số lớp và nhóm trẻ</t>
  </si>
  <si>
    <t>lớp</t>
  </si>
  <si>
    <t>- Số nhóm trẻ</t>
  </si>
  <si>
    <t>Nhóm</t>
  </si>
  <si>
    <t>- Số lớp mẫu giáo</t>
  </si>
  <si>
    <t>Lớp</t>
  </si>
  <si>
    <t>- Số lớp 5 tuổi</t>
  </si>
  <si>
    <t>1.3</t>
  </si>
  <si>
    <t>Các tỷ lệ huy động</t>
  </si>
  <si>
    <t>- Tỷ lệ huy động trẻ ra lớp/dân số độ tuổi</t>
  </si>
  <si>
    <t>- Tỷ lệ trẻ mầm non là nữ</t>
  </si>
  <si>
    <t>- Tỷ lệ trẻ suy dinh dưỡng thể nhẹ cân</t>
  </si>
  <si>
    <t>- Tỷ lệ trẻ suy dinh dưỡng thể thấp còi</t>
  </si>
  <si>
    <t>- Tỷ lệ huy động trẻ từ 3 tháng đến dưới 36 tháng tuổi ra lớp</t>
  </si>
  <si>
    <t>- Tỷ lệ huy động trẻ từ 3-5 tuổi ra lớp</t>
  </si>
  <si>
    <t>- Tỷ lệ huy động trẻ 5 tuổi ra lớp</t>
  </si>
  <si>
    <t>GIÁO DỤC PHỔ THÔNG</t>
  </si>
  <si>
    <t>2.1</t>
  </si>
  <si>
    <t>Tổng số học sinh</t>
  </si>
  <si>
    <t>HS</t>
  </si>
  <si>
    <t>Trong đó: Học sinh bán trú</t>
  </si>
  <si>
    <t>2.2</t>
  </si>
  <si>
    <t>Tổng số lớp</t>
  </si>
  <si>
    <t>2.3</t>
  </si>
  <si>
    <t>- Tỷ lệ học sinh nữ/tổng số HS</t>
  </si>
  <si>
    <t>- Tỷ lệ học sinh đúng độ tuổi</t>
  </si>
  <si>
    <t>- Tỷ lệ học sinh bỏ học</t>
  </si>
  <si>
    <t>- Tỷ lệ học sinh lưu ban</t>
  </si>
  <si>
    <t>2.3.1</t>
  </si>
  <si>
    <t>Tiểu học</t>
  </si>
  <si>
    <t>- Học sinh bán trú</t>
  </si>
  <si>
    <t>- Tỷ lệ học sinh 6 tuổi vào lớp 1</t>
  </si>
  <si>
    <t>- Tỷ lệ học sinh 6-10 tuổi học</t>
  </si>
  <si>
    <t>- Tỷ lệ học sinh nữ/tổng số học sinh</t>
  </si>
  <si>
    <t xml:space="preserve">- Tỷ lệ học sinh lưu ban </t>
  </si>
  <si>
    <t>2.3.2</t>
  </si>
  <si>
    <t xml:space="preserve">Trung học cơ sở </t>
  </si>
  <si>
    <t xml:space="preserve">- Tỷ lệ học sinh 11 tuổi vào lớp 6 </t>
  </si>
  <si>
    <t>- Tỷ lệ học sinh 11-14 tuổi học THCS</t>
  </si>
  <si>
    <t>2.3.3</t>
  </si>
  <si>
    <t>Trung học phổ thông</t>
  </si>
  <si>
    <t>- Tổng số học sinh</t>
  </si>
  <si>
    <t>Tr. đó: + Học sinh các trường DTNT</t>
  </si>
  <si>
    <t xml:space="preserve">             + Học sinh bán trú</t>
  </si>
  <si>
    <t>- Tổng số lớp</t>
  </si>
  <si>
    <t>- Tỷ lệ học sinh 15 tuổi vào lớp 10</t>
  </si>
  <si>
    <t>- Tỷ lệ h/sinh 15-18 tuổi học THPT và tương đương</t>
  </si>
  <si>
    <t>Hệ bổ túc văn hóa</t>
  </si>
  <si>
    <t>H/Sinh</t>
  </si>
  <si>
    <t>- Học sinh PCGDTH-XMC</t>
  </si>
  <si>
    <t>- Học sinh PCGD THCS</t>
  </si>
  <si>
    <t>- Học sinh bổ túc THPT</t>
  </si>
  <si>
    <t>Hướng nghiệp dạy nghề cho HSPT</t>
  </si>
  <si>
    <t>- Học sinh THCS</t>
  </si>
  <si>
    <t xml:space="preserve">- Học sinh THPT </t>
  </si>
  <si>
    <t>Phổ cập giáo dục - Xóa mù chữ</t>
  </si>
  <si>
    <t xml:space="preserve">Tổng số xã </t>
  </si>
  <si>
    <t>Số xã đạt chuẩn PC GDMN cho trẻ 5 tuổi</t>
  </si>
  <si>
    <t>Số xã đạt chuẩn PC GDTH mức độ 1</t>
  </si>
  <si>
    <t>Số xã đạt chuẩn PC GDTH mức độ 2</t>
  </si>
  <si>
    <t>Số xã đạt chuẩn PC GDTH mức độ 3</t>
  </si>
  <si>
    <t>Số xã đạt chuẩn PCGD THCS mức độ 1</t>
  </si>
  <si>
    <t>Số xã đạt chuẩn PCGD THCS mức độ 2</t>
  </si>
  <si>
    <t>Số xã đạt chuẩn PCGD THCS mức độ 3</t>
  </si>
  <si>
    <t>Số xã đạt chuẩn Xóa mù chữ mức độ 1</t>
  </si>
  <si>
    <t>Số xã đạt chuẩn Xóa mù chữ mức độ 2</t>
  </si>
  <si>
    <t>Trường</t>
  </si>
  <si>
    <t>Trường Mầm non</t>
  </si>
  <si>
    <t>"</t>
  </si>
  <si>
    <t>Tr. đó:  - Trường đạt chuẩn Quốc gia</t>
  </si>
  <si>
    <t xml:space="preserve">             - Trường mầm non tư thục</t>
  </si>
  <si>
    <t>Các trường phổ thông</t>
  </si>
  <si>
    <t>Tr.đó: - Các trường PT DTNT tỉnh, huyện</t>
  </si>
  <si>
    <t xml:space="preserve">  - Tổng số trường đạt chuẩn Quốc gia</t>
  </si>
  <si>
    <t xml:space="preserve">  - Tổng số trường PTDTBT</t>
  </si>
  <si>
    <t>Trường Tiểu học</t>
  </si>
  <si>
    <t xml:space="preserve">              - Số trường PTDTBT</t>
  </si>
  <si>
    <t>Trường THCS</t>
  </si>
  <si>
    <t>Trường THPT</t>
  </si>
  <si>
    <t>Trong đó, trường đạt chuẩn Quốc gia</t>
  </si>
  <si>
    <t>T.Tâm</t>
  </si>
  <si>
    <t>Biểu 3.4</t>
  </si>
  <si>
    <t>Nội dung</t>
  </si>
  <si>
    <t xml:space="preserve">Đơn vị tính </t>
  </si>
  <si>
    <t xml:space="preserve">Chia ra các huyện, thị, thành phố </t>
  </si>
  <si>
    <t>Tuần 
Giáo</t>
  </si>
  <si>
    <t xml:space="preserve">Mường Ảng </t>
  </si>
  <si>
    <t>Tủa 
Chùa</t>
  </si>
  <si>
    <t>Nậm 
Pồ</t>
  </si>
  <si>
    <t>2018
2017</t>
  </si>
  <si>
    <t xml:space="preserve"> Chỉ tiêu hoạt động:</t>
  </si>
  <si>
    <t xml:space="preserve"> Tỷ lệ TE&lt;1 tuổi TCĐĐ các loại Vắc xin</t>
  </si>
  <si>
    <t>Biểu làm lại số liệu hoàn toàn mới so với của Phòng tổng hợp (Đề nghị Copy nguyên cả sheet)</t>
  </si>
  <si>
    <t xml:space="preserve"> Tỷ lệ PN đẻ được khám thai 3 lần/3 kỳ thai nghén</t>
  </si>
  <si>
    <t xml:space="preserve"> Tỷ lệ phụ nữ có thai được tiêm phòng UV2+</t>
  </si>
  <si>
    <t xml:space="preserve"> Tỷ lệ PNCT được tư vấn và kiểm tra HIV</t>
  </si>
  <si>
    <t xml:space="preserve"> Tỷ lệ PNCT nhiễm HIV nhận được thuốc  ARV/số PNMT nhiễm HIV toàn tỉnh </t>
  </si>
  <si>
    <t xml:space="preserve"> Tỷ suất tử vong TE dưới 1 tuổi</t>
  </si>
  <si>
    <t>%o</t>
  </si>
  <si>
    <t xml:space="preserve"> Tỷ suất tử vong TE dưới 5 tuổi</t>
  </si>
  <si>
    <t xml:space="preserve"> Tỷ số tử vong mẹ/100.000 trẻ đẻ sống</t>
  </si>
  <si>
    <t>BM</t>
  </si>
  <si>
    <t xml:space="preserve"> Tỷ lệ trẻ sơ sinh dưới 2500 gr</t>
  </si>
  <si>
    <t xml:space="preserve"> Tỷ lệ trẻ nhỏ được bú mẹ hoàn toàn trong 6 tháng đầu</t>
  </si>
  <si>
    <t xml:space="preserve"> Tỷ lệ TE dưới 5 tuổi SDD (cân nặng/tuổi)</t>
  </si>
  <si>
    <t xml:space="preserve"> Tỷ lệ trẻ dưới 5 tuổi bị SDD thể thấp còi (chiều cao theo tuổi) </t>
  </si>
  <si>
    <t xml:space="preserve"> Tỷ lệ dân số dùng muối Iốt</t>
  </si>
  <si>
    <t xml:space="preserve"> Tỷ lệ Bướu cổ trẻ em từ 8 - 10 tuổi</t>
  </si>
  <si>
    <t xml:space="preserve"> Tỷ lệ hộ gia đình sử dụng nhà tiêu vệ sinh hợp vệ sinh</t>
  </si>
  <si>
    <t xml:space="preserve"> Tỷ lệ mắc một số bệnh xã hội/dân số:</t>
  </si>
  <si>
    <t xml:space="preserve"> Uốn ván</t>
  </si>
  <si>
    <t>1/100.000</t>
  </si>
  <si>
    <t xml:space="preserve"> Sốt rét</t>
  </si>
  <si>
    <t>1/1000</t>
  </si>
  <si>
    <t xml:space="preserve"> Lao (mới)</t>
  </si>
  <si>
    <t xml:space="preserve"> HIV/AIDS còn sống</t>
  </si>
  <si>
    <t xml:space="preserve"> Phong (BN phong mới phát hiện)</t>
  </si>
  <si>
    <t xml:space="preserve"> Phong lưu hành</t>
  </si>
  <si>
    <t xml:space="preserve"> Tâm thần </t>
  </si>
  <si>
    <t xml:space="preserve"> Ngộ độc thực phẩm </t>
  </si>
  <si>
    <t xml:space="preserve"> Tai nạn thương tích</t>
  </si>
  <si>
    <t xml:space="preserve">Số trẻ &lt; 15 tuổi  chiếm 33,56% dân số </t>
  </si>
  <si>
    <t>Số trẻ &lt; 15 tuổi  mắc các bệnh có tiêm chủng</t>
  </si>
  <si>
    <t>Số trẻ &lt; 15 tuổi  chết các bệnh có tiêm chủng</t>
  </si>
  <si>
    <t>Tỷ lệ &lt; 15 tuổi chết</t>
  </si>
  <si>
    <t xml:space="preserve"> Thuốc tiêu dùng bình quân người/năm</t>
  </si>
  <si>
    <t>Đồng</t>
  </si>
  <si>
    <t xml:space="preserve"> Cơ sở cung cấp dịch vụ y tế</t>
  </si>
  <si>
    <t xml:space="preserve"> Tuyến tỉnh</t>
  </si>
  <si>
    <t xml:space="preserve"> Bệnh viện tuyến tỉnh:</t>
  </si>
  <si>
    <t>BV</t>
  </si>
  <si>
    <t xml:space="preserve"> Bệnh viện đa khoa </t>
  </si>
  <si>
    <t xml:space="preserve"> Bệnh viện y học cổ truyền</t>
  </si>
  <si>
    <t xml:space="preserve"> Bệnh viện Lao và Bệnh phổi</t>
  </si>
  <si>
    <t xml:space="preserve"> Bệnh viện Tâm thần</t>
  </si>
  <si>
    <t xml:space="preserve"> Bệnh viện Phụ Sản</t>
  </si>
  <si>
    <t xml:space="preserve"> Bệnh viện Điều dưỡng phục hồi chức năng</t>
  </si>
  <si>
    <t xml:space="preserve"> Khu điều trị bệnh nhân phong</t>
  </si>
  <si>
    <t>Cơ sở</t>
  </si>
  <si>
    <t xml:space="preserve"> Chi cục Dân số - KHHGĐ</t>
  </si>
  <si>
    <t>Chi cục</t>
  </si>
  <si>
    <t xml:space="preserve"> Chi cục An toàn vệ sinh thực phẩm</t>
  </si>
  <si>
    <t xml:space="preserve"> Trung tâm chuyên khoa tuyến tỉnh</t>
  </si>
  <si>
    <t xml:space="preserve"> Tuyến huyện, xã</t>
  </si>
  <si>
    <t xml:space="preserve"> Bệnh viện huyện</t>
  </si>
  <si>
    <t xml:space="preserve"> Phòng khám đa khoa khu vực</t>
  </si>
  <si>
    <t>PK</t>
  </si>
  <si>
    <t xml:space="preserve"> Đội y tế dự phòng</t>
  </si>
  <si>
    <t>Đội</t>
  </si>
  <si>
    <t xml:space="preserve"> Đội Bảo vệ bà mẹ trẻ em - KHHGĐ</t>
  </si>
  <si>
    <t xml:space="preserve"> TTYT các huyện</t>
  </si>
  <si>
    <t xml:space="preserve"> TT Dân số - KHHGĐ các huyện</t>
  </si>
  <si>
    <t xml:space="preserve"> Trạm y tế xã, phường</t>
  </si>
  <si>
    <t>Trạm</t>
  </si>
  <si>
    <t xml:space="preserve"> Tỷ lệ xã có trạm y tế (có tổ chức bộ máy trạm y tế)</t>
  </si>
  <si>
    <t xml:space="preserve"> Tổng số giường bệnh toàn tỉnh</t>
  </si>
  <si>
    <t xml:space="preserve"> Trong đó: Giường Quốc lập</t>
  </si>
  <si>
    <t>1/10.000</t>
  </si>
  <si>
    <t xml:space="preserve"> Giường bệnh tuyến tỉnh</t>
  </si>
  <si>
    <t xml:space="preserve"> BV đa khoa khu vực thị xã M.Lay</t>
  </si>
  <si>
    <t xml:space="preserve"> BV đa khoa tỉnh</t>
  </si>
  <si>
    <t xml:space="preserve"> BV Y học cổ truyền</t>
  </si>
  <si>
    <t xml:space="preserve"> BV lao và Bệnh phổi</t>
  </si>
  <si>
    <t xml:space="preserve"> Bệnh viện Phụ sản</t>
  </si>
  <si>
    <t xml:space="preserve"> Giường bệnh TTYT huyện:</t>
  </si>
  <si>
    <t xml:space="preserve"> Giường bệnh Bệnh viện huyện</t>
  </si>
  <si>
    <t xml:space="preserve"> Giường bệnh PKĐKKV</t>
  </si>
  <si>
    <r>
      <t xml:space="preserve"> Giường bệnh trạm y tế xã (3 giường lưu/trạm)</t>
    </r>
    <r>
      <rPr>
        <i/>
        <sz val="10"/>
        <rFont val="Times New Roman"/>
        <family val="1"/>
      </rPr>
      <t xml:space="preserve"> </t>
    </r>
  </si>
  <si>
    <t xml:space="preserve"> Nhân lực y tế:</t>
  </si>
  <si>
    <t xml:space="preserve"> Số bác sĩ</t>
  </si>
  <si>
    <t xml:space="preserve"> Số DSĐH</t>
  </si>
  <si>
    <t xml:space="preserve"> Số xã có bác sĩ</t>
  </si>
  <si>
    <t xml:space="preserve"> Tỷ lệ trạm y tế xã có bác sỹ hoạt động</t>
  </si>
  <si>
    <t xml:space="preserve"> Số xã có NHS hoặc YSSN</t>
  </si>
  <si>
    <t xml:space="preserve"> Tỷ lệ xã có NHS hoặc YSSN</t>
  </si>
  <si>
    <t xml:space="preserve"> Số bản có Nhân viên y tế thôn bản</t>
  </si>
  <si>
    <t xml:space="preserve"> Tỷ lệ bản có Nhân viên y tế thôn bản</t>
  </si>
  <si>
    <t>Số thôn, bản</t>
  </si>
  <si>
    <t>Bộ tiêu chí quốc gia về y tế xã</t>
  </si>
  <si>
    <t xml:space="preserve"> Xã đạt chuẩn Quốc gia về y tế xã (theo Chuẩn cũ)</t>
  </si>
  <si>
    <t xml:space="preserve"> Tỷ lệ xã đạt chuẩn QGYT theo Chuẩn cũ</t>
  </si>
  <si>
    <t xml:space="preserve"> Xã đạt Tiêu chí quốc gia về y tế xã 2011-2020</t>
  </si>
  <si>
    <t xml:space="preserve"> Tỷ lệ xã đạt Tiêu chí quốc gia về y tế xã</t>
  </si>
  <si>
    <t>F</t>
  </si>
  <si>
    <t xml:space="preserve"> Dân số - Kế hoạch hóa gia đình</t>
  </si>
  <si>
    <t xml:space="preserve"> Dân số</t>
  </si>
  <si>
    <t xml:space="preserve"> Dân số trung bình </t>
  </si>
  <si>
    <t xml:space="preserve"> - Tỷ lệ sinh</t>
  </si>
  <si>
    <t xml:space="preserve"> - Tỷ lệ tăng dân số tự nhiên</t>
  </si>
  <si>
    <t>Tỷ suất chết thô</t>
  </si>
  <si>
    <t xml:space="preserve"> - Mức giảm tỷ lệ sinh</t>
  </si>
  <si>
    <t xml:space="preserve"> - Tỷ lệ phát triển dân số</t>
  </si>
  <si>
    <t xml:space="preserve"> - Tỷ số giới tính khi sinh</t>
  </si>
  <si>
    <t>Số bé trai/100 bé gái</t>
  </si>
  <si>
    <t xml:space="preserve"> Dân số phân theo giới tính:</t>
  </si>
  <si>
    <t xml:space="preserve"> - Dân số nam</t>
  </si>
  <si>
    <t xml:space="preserve">    Tỷ lệ so với tổng dân số</t>
  </si>
  <si>
    <t xml:space="preserve"> - Dân số nữ</t>
  </si>
  <si>
    <t xml:space="preserve"> Dân số phân theo thành thị, nông thôn:</t>
  </si>
  <si>
    <t xml:space="preserve"> - Dân số thành thị</t>
  </si>
  <si>
    <t xml:space="preserve"> - Dân số nông thôn</t>
  </si>
  <si>
    <t xml:space="preserve"> Kế hoạch hóa gia đình:</t>
  </si>
  <si>
    <t xml:space="preserve"> - Tỷ lệ nữ từ 15 - 49 tuổi so với dân số</t>
  </si>
  <si>
    <t xml:space="preserve"> - Tỷ lệ PN 15 - 49 tuổi có chồng</t>
  </si>
  <si>
    <t xml:space="preserve"> - Tỷ lệ các cặp vợ chồng thực hiện các BPTT</t>
  </si>
  <si>
    <t xml:space="preserve"> - Tỷ lệ các bà mẹ sinh con thứ 3 trở lên so với tổng số bà mẹ sinh con trong năm</t>
  </si>
  <si>
    <t>G</t>
  </si>
  <si>
    <t>Tỷ lệ người dân tham gia Bảo hiểm y tế</t>
  </si>
  <si>
    <t>H</t>
  </si>
  <si>
    <t>Bổ sung mới các chỉ tiêu về phòng chống HIV/AIDS:</t>
  </si>
  <si>
    <t>Tỷ lệ người nhiễm HIV có nhu cầu điều trị bằng thuốc ARV tiếp cận được thuốc ARV</t>
  </si>
  <si>
    <t xml:space="preserve">Giảm tỷ lệ nhiễm HIV của trẻ em sinh ra từ mẹ nhiễm HIV </t>
  </si>
  <si>
    <t>Tỷ lệ người nghiện các chất dạng thuốc phiện được điều trị thay thế bằng thuốc Methadone</t>
  </si>
  <si>
    <t>Số người người nghiện các chất dạng thuốc phiện được điều trị thay thế bằng thuốc Methadone</t>
  </si>
  <si>
    <t xml:space="preserve"> Biểu 3.5</t>
  </si>
  <si>
    <t xml:space="preserve"> Số TT</t>
  </si>
  <si>
    <t>Đơn vị 
tính</t>
  </si>
  <si>
    <t>Chia theo đơn vị hành chính</t>
  </si>
  <si>
    <t>TP. Đ.Biên Phủ</t>
  </si>
  <si>
    <t>Tuần Giáo</t>
  </si>
  <si>
    <t>Lĩnh vực Văn hóa - Gia đình</t>
  </si>
  <si>
    <t>Phong trào toàn dân đoàn kết XD đời sống văn hóa</t>
  </si>
  <si>
    <t>1</t>
  </si>
  <si>
    <t xml:space="preserve"> Số hộ đăng ký đạt tiêu chuẩn GĐ Văn hóa</t>
  </si>
  <si>
    <t>Hộ GĐ</t>
  </si>
  <si>
    <t>2</t>
  </si>
  <si>
    <t xml:space="preserve"> Số gia đình đạt tiêu chuẩn VH </t>
  </si>
  <si>
    <t xml:space="preserve"> Tỷ lệ GĐ đạt chuẩn VH chiếm trong tổng số gia đình toàn tỉnh</t>
  </si>
  <si>
    <t>3</t>
  </si>
  <si>
    <t xml:space="preserve"> Số thôn, bản đăng ký đạt tiêu chuẩn VH</t>
  </si>
  <si>
    <t>4</t>
  </si>
  <si>
    <t xml:space="preserve"> Số thôn, bản đạt tiêu chuẩn VH; </t>
  </si>
  <si>
    <t xml:space="preserve"> Tỷ lệ  thôn, bản đạt VH chiếm trong tổng số thôn, bản toàn tỉnh/ huyện</t>
  </si>
  <si>
    <t>Số thôn, bản toàn tỉnh</t>
  </si>
  <si>
    <t>5</t>
  </si>
  <si>
    <t xml:space="preserve"> Số cơ quan, đơn vị trường học đăng ký đạt tiêu chuẩn VH</t>
  </si>
  <si>
    <t>Cơ quan</t>
  </si>
  <si>
    <t>6</t>
  </si>
  <si>
    <t xml:space="preserve"> Số cơ quan, đơn vị, DN đạt tiêu chuẩn VH;</t>
  </si>
  <si>
    <t>nt</t>
  </si>
  <si>
    <t xml:space="preserve"> Tỷ lệ cơ quan, đơn vị DN, trường học đạt VH chiếm trong tổng số cơ quan, đơn vị, trường học toàn tỉnh</t>
  </si>
  <si>
    <t>7</t>
  </si>
  <si>
    <t xml:space="preserve"> Số xã đăng ký đạt chuẩn văn hóa nông thôn mới</t>
  </si>
  <si>
    <t>8</t>
  </si>
  <si>
    <t xml:space="preserve"> Số xã đạt chuẩn VH nông thôn mới</t>
  </si>
  <si>
    <t xml:space="preserve"> Tỷ lệ xã đạt chuẩn văn hóa nông thôn mới</t>
  </si>
  <si>
    <t>9</t>
  </si>
  <si>
    <t xml:space="preserve"> Số phường, thị trấn đăng ký đạt chuẩn văn minh đô thị</t>
  </si>
  <si>
    <t>Phường, thị trấn</t>
  </si>
  <si>
    <t>10</t>
  </si>
  <si>
    <t xml:space="preserve"> Số phường, thị trấn đạt chuẩn văn minh đô thị</t>
  </si>
  <si>
    <t xml:space="preserve"> Tỷ lệ phường, thị trấn đạt chuẩn văn minh đô thị</t>
  </si>
  <si>
    <t>Lĩnh vực gia đình</t>
  </si>
  <si>
    <t>Số BCĐ mô hình PCBLGĐ được thành lập tại các xã,phường, thị trấn (nhân rộng mô hình PCBLGĐ)</t>
  </si>
  <si>
    <t>BCĐ</t>
  </si>
  <si>
    <t xml:space="preserve"> Tỷ lệ xã, phường có ban chỉ đạo mô hình phòng chống bạo lực gia đình </t>
  </si>
  <si>
    <t xml:space="preserve">Số  CLB gia đình phát triển bền vững tại các thôn, bản,tổ dân phố </t>
  </si>
  <si>
    <t>CLB</t>
  </si>
  <si>
    <t xml:space="preserve"> Tỷ lệ thôn, bản, tổ dân phố có câu lạc bộ gia đình phát triển bền vững </t>
  </si>
  <si>
    <t xml:space="preserve"> Tỷ lệ gia đình được tuyên truyền phổ biến các luật có liên quan đến lĩnh vực gia đình</t>
  </si>
  <si>
    <t>Phát triển thiết chế văn hóa, thể thao cơ sở</t>
  </si>
  <si>
    <t xml:space="preserve"> Số trung tâm Văn hóa - Thể thao cấp huyện</t>
  </si>
  <si>
    <t>Huyện, thị, TP</t>
  </si>
  <si>
    <t xml:space="preserve"> Số huyện/ thị/ thành phố có Nhà văn hóa, thể thao </t>
  </si>
  <si>
    <t xml:space="preserve"> Số huyện/ thị/ thành phố có thư viện</t>
  </si>
  <si>
    <t xml:space="preserve"> - Trong đó  huyện/ thị/ thành phố có Nhà thư viện</t>
  </si>
  <si>
    <t xml:space="preserve"> Tổng số xã, phường, thị trấn</t>
  </si>
  <si>
    <t>Xã, phường, TT</t>
  </si>
  <si>
    <t xml:space="preserve"> Số xã, phường, thị trấn có Nhà văn hóa, thể thao</t>
  </si>
  <si>
    <t xml:space="preserve"> Tỷ lệ xã, phường có nhà VH-TT</t>
  </si>
  <si>
    <t xml:space="preserve"> Số sân thể thao phổ thông cấp xã</t>
  </si>
  <si>
    <t>Sân TT</t>
  </si>
  <si>
    <t xml:space="preserve"> Tỷ lệ xã, phường có sân thể thao phổ thông</t>
  </si>
  <si>
    <t xml:space="preserve"> Số phòng tập phổ thông cấp xã</t>
  </si>
  <si>
    <t>Phòng tập</t>
  </si>
  <si>
    <t xml:space="preserve"> Tỷ lệ xã, phường có phòng tập phổ thông</t>
  </si>
  <si>
    <t xml:space="preserve"> Số thôn, bản, tổ dân phố có nhà văn hóa và điểm sinh hoạt cộng đồng </t>
  </si>
  <si>
    <t>Thôn, bản</t>
  </si>
  <si>
    <t xml:space="preserve"> Tỷ lệ thôn, bản, tổ dân phố có nhà văn hóa và điểm sinh hoạt cộng đồng </t>
  </si>
  <si>
    <t xml:space="preserve"> Sân bóng đá mini tại thôn, bản</t>
  </si>
  <si>
    <t>Sân</t>
  </si>
  <si>
    <t xml:space="preserve"> Tỷ lệ thôn, bản có sân bóng đá mini</t>
  </si>
  <si>
    <t>Bảo tồn di sản văn hóa</t>
  </si>
  <si>
    <t xml:space="preserve">Số di sản văn hóa phi vật thể được lập hồ sơ khoa học đề nghị đưa vào Danh mục DSVH phi vật thể quốc gia </t>
  </si>
  <si>
    <t>DSVH</t>
  </si>
  <si>
    <t>Số di sản văn hóa phi vật thể được đưa vào Danh mục DSVH phi vật thể quốc gia</t>
  </si>
  <si>
    <t>Số di sản văn hóa phi vật thể được lập hồ sơ khoa học trình UNESCO đề nghị công nhận là di sản văn hóa phi vật thể đại diện của nhân loại</t>
  </si>
  <si>
    <t xml:space="preserve"> Số loại hình văn hóa phi vật thể của các dân tộc thiểu số được bảo tồn hàng năm</t>
  </si>
  <si>
    <t>Loại hình</t>
  </si>
  <si>
    <t>Tỷ lệ các dân tộc được kiểm kê, đánh giá về di sản văn hóa</t>
  </si>
  <si>
    <t>Tỷ lệ các dân tộc có các giá trị di sản văn hóa, tiêu biểu, đại diện được bảo tồn, phát huy</t>
  </si>
  <si>
    <t xml:space="preserve"> Số lượt khách đến tham quan bảo tàng và các điểm di tích</t>
  </si>
  <si>
    <t>Lượt người</t>
  </si>
  <si>
    <t xml:space="preserve"> Trong đó, lượt khách quốc tế</t>
  </si>
  <si>
    <t xml:space="preserve"> Tổng số hiện vật có trong bảo tàng đến cuối kỳ báo cáo</t>
  </si>
  <si>
    <t>Hiện vật</t>
  </si>
  <si>
    <t xml:space="preserve"> Số hiện vật mới được sưu tầm bổ sung mới trong kỳ </t>
  </si>
  <si>
    <t xml:space="preserve"> Số di tích lịch sử được xếp hạng đến cuối kỳ báo cáo</t>
  </si>
  <si>
    <t>Di tích</t>
  </si>
  <si>
    <t xml:space="preserve"> Trong đó, số di tích mới được xếp hạng trong kì</t>
  </si>
  <si>
    <t>Lĩnh vực Thể dục, thể thao</t>
  </si>
  <si>
    <t>Thể thao quần chúng</t>
  </si>
  <si>
    <t xml:space="preserve"> Số người tham gia luyện tập thường xuyên ít nhất 01 môn thể thao</t>
  </si>
  <si>
    <t xml:space="preserve"> Tỷ lệ người tham gia luyện tập thường xuyên  ít nhất 01 môn thể thao trong tổng dân số toàn tỉnh</t>
  </si>
  <si>
    <t>Số gia đình thể thao</t>
  </si>
  <si>
    <t>Gia đình</t>
  </si>
  <si>
    <t>Tỷ lệ gia đình thể thao trong tổng số hộ gia đình toàn tỉnh</t>
  </si>
  <si>
    <t xml:space="preserve"> Số câu lạc bộ thể thao cơ sở</t>
  </si>
  <si>
    <t>Thể thao thành tích cao</t>
  </si>
  <si>
    <t xml:space="preserve"> Số VĐV đạt đẳng cấp kiện tướng QG</t>
  </si>
  <si>
    <t>VĐV</t>
  </si>
  <si>
    <t xml:space="preserve"> Số VĐV đạt cấp I QG</t>
  </si>
  <si>
    <t xml:space="preserve"> Số huy chương các loại đạt được trong năm</t>
  </si>
  <si>
    <t>HC</t>
  </si>
  <si>
    <t>Giải</t>
  </si>
  <si>
    <t xml:space="preserve"> Số Vận động viên được đào tạo </t>
  </si>
  <si>
    <t xml:space="preserve"> Tr. Đó: - Tuyến I - Tập trung</t>
  </si>
  <si>
    <t xml:space="preserve">              - Tuyến II - Bán tập trung</t>
  </si>
  <si>
    <t>Lĩnh vực Du lịch</t>
  </si>
  <si>
    <t xml:space="preserve"> Số lượt khách du lịch đến Điện Biên</t>
  </si>
  <si>
    <t>1.000 Lượt người</t>
  </si>
  <si>
    <t xml:space="preserve"> Tr.đó: Số lượt khách khách Quốc tế</t>
  </si>
  <si>
    <t xml:space="preserve"> Thu nhập XH từ hoạt động du lịch</t>
  </si>
  <si>
    <t xml:space="preserve"> Số ngày lưu trú bình quân của khách nội địa</t>
  </si>
  <si>
    <t>Ngày</t>
  </si>
  <si>
    <t xml:space="preserve"> Số ngày lưu trú bình quân của khách quốc tế:</t>
  </si>
  <si>
    <t xml:space="preserve"> Số bản đủ tiêu chuẩn đón khách du lịch với sự đa dạng của các dân tộc</t>
  </si>
  <si>
    <t xml:space="preserve"> Tr.đó: Số bản đủ tiêu chuẩn đón khách du lịch quốc tế</t>
  </si>
  <si>
    <t>Tổng số xã toàn tỉnh</t>
  </si>
  <si>
    <t>Số thôn bản toàn tỉnh</t>
  </si>
  <si>
    <t>Số gia đình toàn tỉnh</t>
  </si>
  <si>
    <t>Dân số toàn tỉnh</t>
  </si>
  <si>
    <t>Biểu 08</t>
  </si>
  <si>
    <t>Các chỉ tiêu</t>
  </si>
  <si>
    <t>So sánh %</t>
  </si>
  <si>
    <t>TX. Mường Lay</t>
  </si>
  <si>
    <t>8=7/6</t>
  </si>
  <si>
    <t>9=6/5</t>
  </si>
  <si>
    <t>Bưu chính - Viễn thông</t>
  </si>
  <si>
    <t>Bưu chính</t>
  </si>
  <si>
    <t>Số xã có điểm bưu điện văn hóa xã</t>
  </si>
  <si>
    <t>Tỷ lệ xã có điểm bưu điện văn hóa xã</t>
  </si>
  <si>
    <t>Số dân phục vụ bình quân</t>
  </si>
  <si>
    <t>Người/điểm</t>
  </si>
  <si>
    <t>Bán kính phục vụ bình quân</t>
  </si>
  <si>
    <t>Km/điểm</t>
  </si>
  <si>
    <t>Tổng doanh thu dịch vụ bưu chính</t>
  </si>
  <si>
    <t>Viễn thông</t>
  </si>
  <si>
    <t>Tổng số thuê bao điện thoại</t>
  </si>
  <si>
    <t>Thuê bao</t>
  </si>
  <si>
    <t>Số thuê bao điện thoại trung bình 100 dân</t>
  </si>
  <si>
    <t>Máy/100 dân</t>
  </si>
  <si>
    <t>Số trạm thu phát sóng thông tin di động (BTS)</t>
  </si>
  <si>
    <t>Số xã, phường, TT có trạm thông tin di động 3G</t>
  </si>
  <si>
    <t>Số tuyến truyền dẫn quang liên tỉnh</t>
  </si>
  <si>
    <t>Tuyến</t>
  </si>
  <si>
    <t>Số tuyến truyền dẫn quang nội tỉnh</t>
  </si>
  <si>
    <t>Tổng chiều dài tuyến cáp các loại</t>
  </si>
  <si>
    <t>Km</t>
  </si>
  <si>
    <t>Tổng chiều dài tuyến cáp ngầm</t>
  </si>
  <si>
    <t>Tỷ lệ ngầm hóa mạng ngoại vi các tuyến</t>
  </si>
  <si>
    <t>Tổng doanh thu dịch vụ viễn thông</t>
  </si>
  <si>
    <t>Internet</t>
  </si>
  <si>
    <t>Số thuê bao internet</t>
  </si>
  <si>
    <t>Số thuê bao internet trung bình 100 dân</t>
  </si>
  <si>
    <t>Thuê bao/100 dân</t>
  </si>
  <si>
    <t>Số xã, phường, thị trấn được kết nối internet băng thông rộng</t>
  </si>
  <si>
    <t>Tỷ lệ xã, phường, thị trấn được kết nối internet băng thông rộng</t>
  </si>
  <si>
    <t>Tổng doanh thu dịch vụ internet</t>
  </si>
  <si>
    <t>Báo chí- xuất bản, Phát thanh - Truyền hình</t>
  </si>
  <si>
    <t>Báo chí - Xuất bản</t>
  </si>
  <si>
    <t>Số đầu sách, báo, tạp chí, băng đĩa (audio, video, trừ phim) xuất bản</t>
  </si>
  <si>
    <t>Loại</t>
  </si>
  <si>
    <t>Số bản sách, báo, tạp chí, băng đĩa (audio, video, trừ phim) xuất bản</t>
  </si>
  <si>
    <t>Số lượng sách, báo, tạp chí, băng đĩa địa phương bình quân</t>
  </si>
  <si>
    <t>Bản/người/năm</t>
  </si>
  <si>
    <t>Doanh thu hoạt động in, phát hành</t>
  </si>
  <si>
    <t>Phát thanh</t>
  </si>
  <si>
    <t>Tổng số giờ tiếp, phát sóng phát thanh TW</t>
  </si>
  <si>
    <t>Giờ/năm</t>
  </si>
  <si>
    <t>Số giờ phát, tiếp sóng phát thanh địa phương</t>
  </si>
  <si>
    <t>Số giờ phát, tiếp sóng phát thanh tiếng dân tộc địa phương</t>
  </si>
  <si>
    <t xml:space="preserve">Tỷ lệ giờ phát, tiếp sóng phát thanh tiếng dân tộc địa phương </t>
  </si>
  <si>
    <t>Số Đài Truyền thanh không dây</t>
  </si>
  <si>
    <t>Đài</t>
  </si>
  <si>
    <t>Số xã, phường có Đài truyền thanh không dây</t>
  </si>
  <si>
    <t>Tỷ lệ xã, phường có Đài truyền thanh không dây</t>
  </si>
  <si>
    <t>Số hộ nghe được Đài Tiếng nói Việt Nam</t>
  </si>
  <si>
    <t>Tỷ lệ hộ nghe được Đài Tiếng nói Việt Nam</t>
  </si>
  <si>
    <t>Số xã, phường được phủ sóng truyền thanh địa phương</t>
  </si>
  <si>
    <t>Tỷ lệ xã, phường được phủ sóng truyền thanh địa phương</t>
  </si>
  <si>
    <t>Số hộ nghe được Đài phát thanh địa phương</t>
  </si>
  <si>
    <t>Tỷ lệ hộ nghe được đài phát thanh địa phương</t>
  </si>
  <si>
    <t>Truyền hình</t>
  </si>
  <si>
    <t>Số giờ tiếp, phát sóng truyền hình TW</t>
  </si>
  <si>
    <t>Số giờ phát sóng, tiếp sóng truyền hình địa phương</t>
  </si>
  <si>
    <t>Số hộ xem được Đài Truyền hình Việt Nam</t>
  </si>
  <si>
    <t>Tỷ lệ hộ xem được Đài Truyền hình Việt Nam</t>
  </si>
  <si>
    <t>Số xã, phường được phủ sóng truyền hình tỉnh</t>
  </si>
  <si>
    <t>Tỷ lệ xã, phường được phủ sóng truyền hình tỉnh</t>
  </si>
  <si>
    <t>Số hộ xem được đài truyền hình địa phương</t>
  </si>
  <si>
    <t>Tỷ lệ hộ xem được đài truyền hình địa phương</t>
  </si>
  <si>
    <t>Công nghệ thông tin</t>
  </si>
  <si>
    <t>Tổng số máy tính tại cơ quan, đơn vị (máy chủ, trạm, xách tay)</t>
  </si>
  <si>
    <t>Máy chủ</t>
  </si>
  <si>
    <t>Máy</t>
  </si>
  <si>
    <t>Máy trạm</t>
  </si>
  <si>
    <t>Tỷ lệ cán bộ, công chức tại các cơ quan chuyên môn được trang bị máy tính</t>
  </si>
  <si>
    <t>- Cấp tỉnh</t>
  </si>
  <si>
    <t>- Cấp huyện</t>
  </si>
  <si>
    <t>- Cấp xã</t>
  </si>
  <si>
    <t>Tỷ lệ máy tính có kết nối Internet</t>
  </si>
  <si>
    <t>Tỷ lệ cán bộ, công chức được cấp và thường xuyên sử dụng phần mềm quản lý văn bản và điều hành</t>
  </si>
  <si>
    <t>Tỷ lệ cán bộ, công chức thường xuyên sử dụng thư điện tử trong công việc</t>
  </si>
  <si>
    <t>Biểu số 7</t>
  </si>
  <si>
    <t>DANH MỤC CÁC DỰ ÁN QUY HOẠCH</t>
  </si>
  <si>
    <t>Đơn vị: Triệu đồng</t>
  </si>
  <si>
    <t>Cấp phê duyệt</t>
  </si>
  <si>
    <t>Thời gian bắt đầu - kết thúc</t>
  </si>
  <si>
    <t>Tổng dự toán được duyệt</t>
  </si>
  <si>
    <t>Vốn trong nước</t>
  </si>
  <si>
    <t>Vốn nước ngoài</t>
  </si>
  <si>
    <t>Rà soát, điều chỉnh quy hoạch tổng thể phát triển kinh tế - xã hội tỉnh Điện Biên đến năm 2020, tầm nhìn đến năm 2030</t>
  </si>
  <si>
    <t>Thủ tướng Chính phủ</t>
  </si>
  <si>
    <t>2013-2017</t>
  </si>
  <si>
    <t>Dự án rà soát điều chỉnh quy hoạch 03 loại rừng tỉnh Điện Biên đến năm 2025, định hướng đến năm 2030</t>
  </si>
  <si>
    <t>UBND</t>
  </si>
  <si>
    <t>Dự án quy hoạch tiêu thoát lũ khu vực lòng chảo tỉnh Điện Biên đến năm 2025, Định hướng đến năm 2035</t>
  </si>
  <si>
    <t>Năm 2016 - Năm 2017</t>
  </si>
  <si>
    <t>Dự án quy hoạch tổng thể phát triển thủy sản tỉnh Điện Biên giai đoạn 2016 - 2025, định hướng đến năm 2030</t>
  </si>
  <si>
    <t>Dự án quy hoạch triển khai mới:</t>
  </si>
  <si>
    <t>Ước thực hiện 2018 so với KH 2018</t>
  </si>
  <si>
    <t>7=6/4</t>
  </si>
  <si>
    <t>8=6/5</t>
  </si>
  <si>
    <t>TH 2017</t>
  </si>
  <si>
    <t>2019/2018</t>
  </si>
  <si>
    <t>Kế hoạch năm 2019</t>
  </si>
  <si>
    <t>(Kèm theo quyết định số          /QĐ-UBND ngày      /12/2018 của UBND tỉnh)</t>
  </si>
  <si>
    <t>CÁC CHỈ TIÊU XÃ HỘI NĂM 2019</t>
  </si>
  <si>
    <t>Ước TH năm 2018</t>
  </si>
  <si>
    <t>2019/
2018</t>
  </si>
  <si>
    <t xml:space="preserve"> Thực hiện năm 2017</t>
  </si>
  <si>
    <t>Thực hiện năm 2017</t>
  </si>
  <si>
    <t>CHỈ TIÊU HƯỚNG DẪN PHÁT TRIỂN SỰ NGHIỆP Y TẾ NĂM 2019</t>
  </si>
  <si>
    <t>2019
2018</t>
  </si>
  <si>
    <t xml:space="preserve">Ước thực hiện 2018 so với ước thực hiện năm 2017 </t>
  </si>
  <si>
    <t>Kế hoạch 2019 so với ước thực hiện 2018</t>
  </si>
  <si>
    <t>BIỂU CHỈ TIÊU PHÁT TRIỂN NGÀNH THÔNG TIN VÀ TRUYỀN THÔNG TỈNH ĐIỆN BIÊN NĂM 2019</t>
  </si>
  <si>
    <t>(Kèm theo quyết định số      /QĐ-UBND ngày      /12/2018 của UBND tỉnh )</t>
  </si>
  <si>
    <t>CÁC CHỈ TIÊU KINH TẾ TỔNG HỢP NĂM 2019</t>
  </si>
  <si>
    <t>CÁC CHỈ TIÊU NÔNG NGHIỆP, CÔNG NGHIỆP, DỊCH VỤ, XUẤT NHẬP KHẨU NĂM 2019</t>
  </si>
  <si>
    <t>Theo số liệu của sở GT</t>
  </si>
  <si>
    <t>Số dịch vụ công trực tuyến được cung cấp</t>
  </si>
  <si>
    <t>DVC trực tuyến</t>
  </si>
  <si>
    <t>Tỷ lệ dịch vụ công trực tuyến so với tổng số dịch vụ công</t>
  </si>
  <si>
    <t>Tổng số lao động đang làm việc trong các ngành KTQD</t>
  </si>
  <si>
    <t>?</t>
  </si>
  <si>
    <t>Tỷ lệ tham gia BHXH bắt buộc</t>
  </si>
  <si>
    <t>Tỷ lệ tham gia BHXH thất nghiệp</t>
  </si>
  <si>
    <t>Tỷ lệ tham gia BHXH tự nguyện</t>
  </si>
  <si>
    <t xml:space="preserve"> CHỈ TIÊU HƯỚNG DẪN PHÁT TRIỂN LAO ĐỘNG VIỆC LÀM, BẢO VỆ TRẺ EM, CÁC VẤN ĐỀ XÃ HỘI VÀ ĐÀO TẠO NGHỀ NĂM 2019</t>
  </si>
  <si>
    <t>(Kèm theo Quyết định số          /QĐ-UBND ngày      /12/2018 của UBND tỉnh Điện Biên)</t>
  </si>
  <si>
    <t xml:space="preserve"> Lao động việc làm</t>
  </si>
  <si>
    <t xml:space="preserve"> Tổng số người trong độ tuổi  LĐ</t>
  </si>
  <si>
    <t xml:space="preserve"> Số LĐ chia theo khu vực</t>
  </si>
  <si>
    <t xml:space="preserve"> Lực lượng lao động</t>
  </si>
  <si>
    <t xml:space="preserve">Ước TH 2018 do TK ước cao nên XDKH 2019 ngành chỉ XD tương đương </t>
  </si>
  <si>
    <t xml:space="preserve"> LĐ đang làm việc trong các ngành KTQD</t>
  </si>
  <si>
    <t xml:space="preserve"> Công nghiệp - Xây dựng</t>
  </si>
  <si>
    <t xml:space="preserve"> Nông nghiệp - Lâm nghiệp - Thủy sản</t>
  </si>
  <si>
    <t xml:space="preserve"> Thương mại - Dịch vụ</t>
  </si>
  <si>
    <t xml:space="preserve"> Tổng số Lao động qua đào tạo</t>
  </si>
  <si>
    <t xml:space="preserve"> Tỷ lệ thất nghiệp ở khu vực thành thị</t>
  </si>
  <si>
    <t xml:space="preserve"> - Tỷ lệ xã, phường, thị trấn đạt tiêu chuẩn phù hợp với trẻ em</t>
  </si>
  <si>
    <t>Bổ sung một số chỉ số liên quan đến Phát triển trẻ thơ toàn diện từ năm 2019</t>
  </si>
  <si>
    <t>Số trẻ em không nơi nương tựa được nhận nuôi dưỡng tại cộng đồng</t>
  </si>
  <si>
    <t>Số vụ bạo hành trẻ em được phát hiện</t>
  </si>
  <si>
    <t>Vụ</t>
  </si>
  <si>
    <t>Số vụ bạo hành trẻ em được xử lý</t>
  </si>
  <si>
    <t>Số cán bộ làm công tác bảo vệ trẻ em/cán bộ công tác xã hội các cấp tham gia quản lý trường hợp</t>
  </si>
  <si>
    <t>130/145</t>
  </si>
  <si>
    <t>130/157</t>
  </si>
  <si>
    <t>9/10</t>
  </si>
  <si>
    <t>3/4</t>
  </si>
  <si>
    <t>25/26</t>
  </si>
  <si>
    <t>19/26</t>
  </si>
  <si>
    <t>10/11</t>
  </si>
  <si>
    <t>12/19</t>
  </si>
  <si>
    <t>12/13</t>
  </si>
  <si>
    <t>11/12</t>
  </si>
  <si>
    <t>14/20</t>
  </si>
  <si>
    <t>15/16</t>
  </si>
  <si>
    <t xml:space="preserve">             - Làng trẻ em SOS ĐBP</t>
  </si>
  <si>
    <t xml:space="preserve"> Bảo hiểm xã hội</t>
  </si>
  <si>
    <t>Đối tượng thuộc diện tham gia BHXH bắt buộc</t>
  </si>
  <si>
    <t>Năm 2017 BHXH chưa theo dõi đối tượng này</t>
  </si>
  <si>
    <t>Số người tham gia BHXH bắt buộc</t>
  </si>
  <si>
    <t>Tốc độ phát triển số người tham gia BHXH bắt buộc</t>
  </si>
  <si>
    <t>Đối tượng thuộc diện tham gia BHXH thất nghiệp</t>
  </si>
  <si>
    <t xml:space="preserve"> - Số người tham gia BHXH thất nghiệp</t>
  </si>
  <si>
    <t>Tốc độ phát triển số người tham gia BHXH thất nghiệp</t>
  </si>
  <si>
    <t>Đối tượng thuộc diện tham gia BHXH tự nguyện</t>
  </si>
  <si>
    <t xml:space="preserve"> - Số người tham gia BHXH tự nguyện</t>
  </si>
  <si>
    <t>Tốc độ phát triển số người tham gia BHXH tự nguyện</t>
  </si>
  <si>
    <t>CHỈ TIÊU HƯỚNG DẪN VỀ PHÁT TRIỂN ĐÀO TẠO NĂM 2019</t>
  </si>
  <si>
    <t xml:space="preserve"> - Cao đẳng chính quy</t>
  </si>
  <si>
    <t xml:space="preserve"> - Trung cấp chính quy</t>
  </si>
  <si>
    <t xml:space="preserve"> - Đào tạo cao đẳng, trung cấp không chính quy</t>
  </si>
  <si>
    <t xml:space="preserve"> - Bồi dưỡng các hệ </t>
  </si>
  <si>
    <t xml:space="preserve"> - Đào tạo nghề</t>
  </si>
  <si>
    <t xml:space="preserve"> - Thạc sỹ (liên kết đào tạo)</t>
  </si>
  <si>
    <t xml:space="preserve"> - Đại học (liên kết đào tạo)</t>
  </si>
  <si>
    <t>Thu</t>
  </si>
  <si>
    <t xml:space="preserve">Chỉ tiêu ngoài ngân sách </t>
  </si>
  <si>
    <t>Liên kết đào tạo vừa làm vừa học (tuyển mới)</t>
  </si>
  <si>
    <t xml:space="preserve"> - Thạc sỹ </t>
  </si>
  <si>
    <t xml:space="preserve"> - Đại học </t>
  </si>
  <si>
    <t xml:space="preserve"> - Hướng dẫn du lịch</t>
  </si>
  <si>
    <t xml:space="preserve"> - Xây dựng dân dụng và Công nghiệp</t>
  </si>
  <si>
    <t>Đào tạo nghề (Sơ cấp + Đào tạo thường xuyên)</t>
  </si>
  <si>
    <t>d</t>
  </si>
  <si>
    <t>tuyển mới</t>
  </si>
  <si>
    <t xml:space="preserve"> Tuyển mới đào tạo liên thông (từ trung cấp lên cao đẳng, hệ vừa học vừa làm)</t>
  </si>
  <si>
    <t xml:space="preserve"> Liên kết đào tạo vừa làm vừa học (tuyển mới)</t>
  </si>
  <si>
    <t xml:space="preserve"> - Liên thông lên Đại học Dược</t>
  </si>
  <si>
    <t xml:space="preserve"> Chuyển đổi sang Dược sỹ trung cấp (tuyển mới)</t>
  </si>
  <si>
    <t>CHỈ TIÊU HƯỚNG DẪN PHÁT TRIỂN SỰ NGHIỆP GIÁO DỤC NĂM 2019 (Năm học 2019-2020)</t>
  </si>
  <si>
    <t>48,8</t>
  </si>
  <si>
    <t>Số liệu PC sau khi thống nhất với A Toàn, không đồng ý điều chỉnh KH PC, phải theo KH XMC tỉnh đã phê duyệt tại QĐ số 3404</t>
  </si>
  <si>
    <t>Tr. đó: - Trường đạt chuẩn Quốc gia</t>
  </si>
  <si>
    <t xml:space="preserve">             - Số trường PTDTBT</t>
  </si>
  <si>
    <t xml:space="preserve">              - Số trường THCS tư thục</t>
  </si>
  <si>
    <t>Trung tâm GDTX tỉnh</t>
  </si>
  <si>
    <t>Trung tâm KTTH-HN tỉnh</t>
  </si>
  <si>
    <t>Trung tâm NN-TH</t>
  </si>
  <si>
    <t>Trung tâm GDNN-GDTX</t>
  </si>
  <si>
    <t>Trung tâm Hỗ trợ phát triển giáo dục hòa nhập tỉnh Điện Biên</t>
  </si>
  <si>
    <t>VI</t>
  </si>
  <si>
    <t>(Kèm theo quyết định số          /QĐ-UBND ngày      /12/2018 của UBND tỉnh Điện Biên)</t>
  </si>
  <si>
    <t>Thị xã 
Mường Lay</t>
  </si>
  <si>
    <t>&lt;9</t>
  </si>
  <si>
    <t xml:space="preserve"> Tỷ lệ giường bệnh Quốc lập /vạn dân</t>
  </si>
  <si>
    <t xml:space="preserve"> Tỷ lệ Bác sỹ/ vạn dân</t>
  </si>
  <si>
    <t xml:space="preserve"> Tỷ lệ Dược sỹ đại học/ vạn dân</t>
  </si>
  <si>
    <t>≤ 5</t>
  </si>
  <si>
    <t>K</t>
  </si>
  <si>
    <t>Tỷ lệ trẻ 18 tháng tuổi tiêm sởi - rubella</t>
  </si>
  <si>
    <t>Tỷ lệ trẻ 18 tháng tuổi tiêm DPT mũi 4</t>
  </si>
  <si>
    <t>Tỷ lệ trẻ 1 - 5 tuổi tiêm viêm não 2 mũi cơ bản</t>
  </si>
  <si>
    <t>Tỷ lệ trẻ 2 - 5 tuổi tiêm viêm não mũi 3</t>
  </si>
  <si>
    <t>Tỷ lệ trẻ em &lt; 6 tuổi bị khuyết tật tại cộng đồng được phát hiện, can thiệp sớm</t>
  </si>
  <si>
    <t>Tỷ lệ phụ nữ đẻ tại cơ sở y tế</t>
  </si>
  <si>
    <t>Tỷ lệ bà mẹ và trẻ sơ sinh được nhân viên y tế chăm sóc tuần đầu sau sinh</t>
  </si>
  <si>
    <t>CHỈ TIÊU HƯỚNG DẪN PHÁT TRIỂN SỰ NGHIỆP VĂN HOÁ, THỂ THAO VÀ DU LỊCH NĂM 2019</t>
  </si>
  <si>
    <t xml:space="preserve">Tham gia giải thi đấu TDTT </t>
  </si>
  <si>
    <t xml:space="preserve"> Trong đó: Tham gia Hội thi</t>
  </si>
  <si>
    <t>Hội thi</t>
  </si>
  <si>
    <t>Số cán bộ quản lý, giáo viên, nhân viên mầm non được tập huấn về tư vấn dinh dưỡng và tâm lý cho trẻ</t>
  </si>
  <si>
    <t>Số nhân viên nấu ăn có chứng chỉ nghề nấu ăn</t>
  </si>
  <si>
    <t>Số điểm trường mầm non có nhà vệ sinh hợp vệ sinh</t>
  </si>
  <si>
    <t>Điểm trường</t>
  </si>
  <si>
    <t>Số điểm trường mầm non có nguồn nước sử dụng hợp vệ sinh</t>
  </si>
  <si>
    <t>Số nhóm/lớp mầm non có đủ thiết bị, đồ dùng, đồ chơi tối thiểu theo quy định</t>
  </si>
  <si>
    <t>Số điểm trường mầm non có 05 loại đồ chơi ngoài trời trở lên trong danh mục quy định</t>
  </si>
  <si>
    <t>Dự án quy hoạch chuyển tiếp</t>
  </si>
  <si>
    <t>Dự án Quy hoạch Tỉnh Điện Biên giai đoạn đến năm 2030, tầm nhìn đến năm 2050.</t>
  </si>
  <si>
    <t>2019-2021</t>
  </si>
  <si>
    <t xml:space="preserve">CHỈ TIÊU SẢN XUẤT CÔNG NGHIỆP, DỊCH VỤ NĂM 2019 - TỈNH ĐIỆN BIÊN
</t>
  </si>
  <si>
    <t>Cơ sở giáo dục</t>
  </si>
  <si>
    <t xml:space="preserve"> Tr. Đó: Trung tâm tư thục</t>
  </si>
  <si>
    <t>Bổ sung một số chỉ số liên quan đến Phát triển trẻ thơ toàn diện</t>
  </si>
  <si>
    <t>9=8/6</t>
  </si>
  <si>
    <t>CHỈ TIÊU SẢN XUẤT NÔNG NGHIỆP CHỦ YẾU NĂM 2019 - TỈNH ĐIỆN BIÊN</t>
  </si>
  <si>
    <t>Thực hiện
2017</t>
  </si>
  <si>
    <t>Ước thực
hiện cả năm</t>
  </si>
  <si>
    <t>TP.ĐBP</t>
  </si>
  <si>
    <t>ĐBĐông</t>
  </si>
  <si>
    <t>TX. MLay</t>
  </si>
  <si>
    <t>Nông nghiệp</t>
  </si>
  <si>
    <t>Sản xuất cây lương thực</t>
  </si>
  <si>
    <t>- Sản lượng thóc</t>
  </si>
  <si>
    <t>- Sản lượng thóc ruộng</t>
  </si>
  <si>
    <t>- Cơ cấu thóc ruộng
trong TSLLT</t>
  </si>
  <si>
    <t>Lúa Đông xuân</t>
  </si>
  <si>
    <t xml:space="preserve">Sản lượng </t>
  </si>
  <si>
    <t>Lúa Mùa</t>
  </si>
  <si>
    <t>Lúa nương</t>
  </si>
  <si>
    <t>Cây ngô</t>
  </si>
  <si>
    <t>Cây chè búp</t>
  </si>
  <si>
    <t>- Tổng Diện tích</t>
  </si>
  <si>
    <t>Trong đó: DT trồng mới</t>
  </si>
  <si>
    <t>- Sản lượng búp tươi</t>
  </si>
  <si>
    <t>Cây cà phê</t>
  </si>
  <si>
    <t>Cây cao su</t>
  </si>
  <si>
    <t xml:space="preserve">  Đàn trâu </t>
  </si>
  <si>
    <t xml:space="preserve">  Đàn bò  </t>
  </si>
  <si>
    <t xml:space="preserve">  Đàn lợn </t>
  </si>
  <si>
    <t xml:space="preserve"> Đàn gia cầm </t>
  </si>
  <si>
    <t xml:space="preserve">Tổng sản lượng </t>
  </si>
  <si>
    <t>Trồng rừng tập trung</t>
  </si>
  <si>
    <t>Trồng rừng phòng hộ</t>
  </si>
  <si>
    <t>Trồng rừng sản xuất (CT30a và các nguồn vốn khác)</t>
  </si>
  <si>
    <t xml:space="preserve">Khoán bảo vệ rừng </t>
  </si>
  <si>
    <t>Khoanh nuôi tái sinh rừng</t>
  </si>
  <si>
    <t>Độ che phủ rừng</t>
  </si>
  <si>
    <t>do không có hạn hán mất mùa</t>
  </si>
  <si>
    <t xml:space="preserve"> - Tỷ lệ hộ cận nghèo</t>
  </si>
  <si>
    <t>Tỷ lệ hộ nghèo dân tộc thiểu số</t>
  </si>
  <si>
    <t>2018/ 2017</t>
  </si>
  <si>
    <t>2019/ 2018</t>
  </si>
  <si>
    <t>Tổng số Trường cao đẳng trên địa bàn tỉnh</t>
  </si>
  <si>
    <t>Tổng số chỉ tiêu tuyển mới</t>
  </si>
  <si>
    <t>CHI TIẾT TẠI CÁC CƠ SỞ ĐÀO TẠO</t>
  </si>
  <si>
    <r>
      <t xml:space="preserve">Chỉ tiêu trong ngân sách </t>
    </r>
    <r>
      <rPr>
        <b/>
        <i/>
        <sz val="11"/>
        <rFont val="Times New Roman"/>
        <family val="1"/>
      </rPr>
      <t>(Đào tạo chính quy)</t>
    </r>
  </si>
  <si>
    <t>An sửa số chi tiết ở dưới, số tổng trên này sẽ tự động nhẩy số</t>
  </si>
  <si>
    <t>Các chỉ tiêu phát triển thiên niên kỷ đối với đồng bào dân tộc thiểu số</t>
  </si>
  <si>
    <t>Tỷ lệ trẻ em DTTS nhập học đúng độ tuổi bậc tiểu học (%)</t>
  </si>
  <si>
    <t>99,5</t>
  </si>
  <si>
    <t>99,2</t>
  </si>
  <si>
    <t>98,6</t>
  </si>
  <si>
    <t>99,1</t>
  </si>
  <si>
    <t>98,1</t>
  </si>
  <si>
    <t>98,4</t>
  </si>
  <si>
    <t>99,3</t>
  </si>
  <si>
    <t>97,8</t>
  </si>
  <si>
    <t>Tỷ lệ người DTTS hoàn thành chương trình  tiểu học (%)</t>
  </si>
  <si>
    <t>97,95</t>
  </si>
  <si>
    <t>98,02</t>
  </si>
  <si>
    <t>98,27</t>
  </si>
  <si>
    <t>98,01</t>
  </si>
  <si>
    <t>97,82</t>
  </si>
  <si>
    <t>99,0</t>
  </si>
  <si>
    <t>98,14</t>
  </si>
  <si>
    <t>97,84</t>
  </si>
  <si>
    <t>98,11</t>
  </si>
  <si>
    <t>99,08</t>
  </si>
  <si>
    <t>99,36</t>
  </si>
  <si>
    <t>96,08</t>
  </si>
  <si>
    <t>Tỷ lệ người DTTS biết chữ  trong độ tuổi từ 15 tuổi đến 60 tuổi (%)</t>
  </si>
  <si>
    <t>Tỷ lệ nữ người DTTS biết chữ trong độ tuổi từ 15 đến 60 tuổi (%)</t>
  </si>
  <si>
    <t>Tỷ lệ học sinh nữ DTTS ở cấp tiểu học, trung học cơ sở, trung học phổ thông (%)</t>
  </si>
  <si>
    <t xml:space="preserve">Tỷ lệ phụ nữ DTTS được khám thai ít nhất 3 lần trong kỳ mang thai </t>
  </si>
  <si>
    <t>bổ sung các chỉ tiêu về dân tộc thiểu số</t>
  </si>
  <si>
    <t xml:space="preserve">Tỷ suất tử vong trẻ em DTTS dưới 1 tuổi trên 1000 trẻ DTTS đẻ sống </t>
  </si>
  <si>
    <t xml:space="preserve">Tỷ suất tử vong trẻ em DTTS dưới 5 tuổi trên 1000 trẻ DTTS đẻ sống </t>
  </si>
  <si>
    <t>Tỷ số tử vong người mẹ DTTS/100.000 trẻ người DTTS đẻ sống</t>
  </si>
  <si>
    <t xml:space="preserve">Tỷ lệ suy dinh dưỡng cân nặng/tuổi ở trẻ em DTTS dưới 5 tuổi </t>
  </si>
  <si>
    <t xml:space="preserve">Tỷ lệ các ca sinh của phụ nữ DTTS được cán bộ y tế đã qua đào tạo đỡ </t>
  </si>
  <si>
    <t>Tỷ lệ hộ gia đình DTTS sử dụng nhà tiêu vệ sinh hợp vệ sinh</t>
  </si>
  <si>
    <t xml:space="preserve">Tỷ lệ người DTTS mắc sốt rét/1000 dân DTTS </t>
  </si>
  <si>
    <t>Tỷ lệ người DTTS mắc lao/100.000 dân DTTS</t>
  </si>
  <si>
    <t xml:space="preserve">Tỷ lệ nhiễm HIV ở nhóm dân số DTTS 15-24 tuổi </t>
  </si>
  <si>
    <t>Số hộ tái,phát sinh nghèo</t>
  </si>
  <si>
    <t>Biểu số 03</t>
  </si>
  <si>
    <t>Tổng DT cây lương thực có hạt</t>
  </si>
  <si>
    <t>Ghi chú: Toàn bộ số liệu KH 2019 Sở KH-DT tổng hợp từ số liệu của Sở Nông nghiệp và PTNT</t>
  </si>
  <si>
    <t xml:space="preserve">Số liệu kết quả năm 2018: Riêng số liệu về chăn nuôi, thủy sản Sở KH -DT lấy từ số Thống kê, không lấy số của ngành </t>
  </si>
  <si>
    <t>Lý do: Sở Nông nghiệp tổng hợp số liệu từ phòng NN các huyện thấp hơn so với thống kê, đặc biệt là đàn lợn và gia cầm. Các số liệu khác Thống kê và Nông nghiệp lấy khớp số liệu gửi Sở KH tổng hợp</t>
  </si>
  <si>
    <t>Trồng rừng thay thế</t>
  </si>
  <si>
    <t>Số hộ nghèo đầu kỳ theo chuẩn Quốc gia</t>
  </si>
  <si>
    <t>Giảm nghèo</t>
  </si>
  <si>
    <t xml:space="preserve">Số hộ nghèo cuối kỳ theo chuẩn Quốc gia </t>
  </si>
  <si>
    <t>Số hộ tái nghèo, phát sinh nghèo</t>
  </si>
  <si>
    <t>Cây công nghiệp dài ngày</t>
  </si>
  <si>
    <t>Tổng Diện tích</t>
  </si>
</sst>
</file>

<file path=xl/styles.xml><?xml version="1.0" encoding="utf-8"?>
<styleSheet xmlns="http://schemas.openxmlformats.org/spreadsheetml/2006/main">
  <numFmts count="4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00_);_(* \(#,##0.00\);_(* &quot;-&quot;??_);_(@_)"/>
    <numFmt numFmtId="165" formatCode="\$#,##0\ ;\(\$#,##0\)"/>
    <numFmt numFmtId="166" formatCode="_-&quot;€&quot;* #,##0.00_-;\-&quot;€&quot;* #,##0.00_-;_-&quot;€&quot;* &quot;-&quot;??_-;_-@_-"/>
    <numFmt numFmtId="167" formatCode="&quot;\&quot;#,##0;[Red]&quot;\&quot;\-#,##0"/>
    <numFmt numFmtId="168" formatCode="&quot;\&quot;#,##0.00;[Red]&quot;\&quot;&quot;\&quot;&quot;\&quot;&quot;\&quot;&quot;\&quot;&quot;\&quot;\-#,##0.00"/>
    <numFmt numFmtId="169" formatCode="#,##0.0"/>
    <numFmt numFmtId="170" formatCode="&quot;\&quot;#,##0;[Red]&quot;\&quot;&quot;\&quot;\-#,##0"/>
    <numFmt numFmtId="171" formatCode="#,##0\ &quot;€&quot;;[Red]\-#,##0\ &quot;€&quot;"/>
    <numFmt numFmtId="172" formatCode="_(* #,##0.0_);_(* \(#,##0.0\);_(* &quot;-&quot;??_);_(@_)"/>
    <numFmt numFmtId="173" formatCode="#,##0\ &quot;þ&quot;;[Red]\-#,##0\ &quot;þ&quot;"/>
    <numFmt numFmtId="174" formatCode="_-* #,##0_-;\-* #,##0_-;_-* &quot;-&quot;_-;_-@_-"/>
    <numFmt numFmtId="175" formatCode="_(* #,##0_);_(* \(#,##0\);_(* &quot;-&quot;??_);_(@_)"/>
    <numFmt numFmtId="176" formatCode="_-&quot;€&quot;* #,##0_-;\-&quot;€&quot;* #,##0_-;_-&quot;€&quot;* &quot;-&quot;_-;_-@_-"/>
    <numFmt numFmtId="177" formatCode="&quot;VND&quot;#,##0_);[Red]\(&quot;VND&quot;#,##0\)"/>
    <numFmt numFmtId="178" formatCode="_-* #,##0.00_-;\-* #,##0.00_-;_-* &quot;-&quot;??_-;_-@_-"/>
    <numFmt numFmtId="179" formatCode="_-* #,##0.00\ _V_N_D_-;\-* #,##0.00\ _V_N_D_-;_-* &quot;-&quot;??\ _V_N_D_-;_-@_-"/>
    <numFmt numFmtId="180" formatCode="&quot;\&quot;#,##0.00;[Red]&quot;\&quot;\-#,##0.00"/>
    <numFmt numFmtId="181" formatCode="0.0"/>
    <numFmt numFmtId="182" formatCode="#,##0.000"/>
    <numFmt numFmtId="183" formatCode="0.000"/>
    <numFmt numFmtId="184" formatCode="_-* #,##0\ _₫_-;\-* #,##0\ _₫_-;_-* &quot;-&quot;??\ _₫_-;_-@_-"/>
    <numFmt numFmtId="185" formatCode="0.0%"/>
    <numFmt numFmtId="186" formatCode="_-* #,##0.0\ _₫_-;\-* #,##0.0\ _₫_-;_-* &quot;-&quot;?\ _₫_-;_-@_-"/>
    <numFmt numFmtId="187" formatCode="#,##0.00000"/>
    <numFmt numFmtId="188" formatCode="_-* #,##0.0\ _₫_-;\-* #,##0.0\ _₫_-;_-* &quot;-&quot;??\ _₫_-;_-@_-"/>
    <numFmt numFmtId="189" formatCode="#,##0.000000"/>
    <numFmt numFmtId="190" formatCode="_-* #,##0.00\ _€_-;\-* #,##0.00\ _€_-;_-* &quot;-&quot;??\ _€_-;_-@_-"/>
    <numFmt numFmtId="191" formatCode="_-* #,##0\ _₫_-;\-* #,##0\ _₫_-;_-* &quot;-&quot;?\ _₫_-;_-@_-"/>
    <numFmt numFmtId="192" formatCode="0.0;[Red]0.0"/>
    <numFmt numFmtId="193" formatCode="0.00;[Red]0.00"/>
    <numFmt numFmtId="194" formatCode="0;[Red]0"/>
    <numFmt numFmtId="195" formatCode="0.0_);\(0.0\)"/>
    <numFmt numFmtId="196" formatCode="_(* #.0.;_(* \(#.0.;_(* &quot;-&quot;??_);_(@_ⴆ"/>
    <numFmt numFmtId="197" formatCode="#,##0_ ;\-#,##0\ "/>
    <numFmt numFmtId="198" formatCode="_-* #,##0.00\ _₫_-;\-* #,##0.00\ _₫_-;_-* &quot;-&quot;??.0\ _₫_-;_-@_-"/>
    <numFmt numFmtId="199" formatCode="_-* #,##0.000\ _₫_-;\-* #,##0.000\ _₫_-;_-* &quot;-&quot;??\ _₫_-;_-@_-"/>
    <numFmt numFmtId="200" formatCode="_(* #,##0.0_);_(* \(#,##0.0\);_(* &quot;-&quot;?_);_(@_)"/>
  </numFmts>
  <fonts count="172">
    <font>
      <sz val="12"/>
      <name val="Times New Roman"/>
      <family val="0"/>
    </font>
    <font>
      <sz val="11"/>
      <color indexed="8"/>
      <name val="Arial"/>
      <family val="2"/>
    </font>
    <font>
      <b/>
      <sz val="14"/>
      <name val="Times New Roman"/>
      <family val="1"/>
    </font>
    <font>
      <b/>
      <sz val="13"/>
      <name val="Times New Roman"/>
      <family val="1"/>
    </font>
    <font>
      <i/>
      <sz val="12"/>
      <name val="Times New Roman"/>
      <family val="1"/>
    </font>
    <font>
      <b/>
      <sz val="12"/>
      <name val="Times New Roman"/>
      <family val="1"/>
    </font>
    <font>
      <sz val="14"/>
      <name val="Times New Roman"/>
      <family val="1"/>
    </font>
    <font>
      <b/>
      <i/>
      <sz val="14"/>
      <name val="Times New Roman"/>
      <family val="1"/>
    </font>
    <font>
      <b/>
      <i/>
      <sz val="12"/>
      <name val="Times New Roman"/>
      <family val="1"/>
    </font>
    <font>
      <sz val="12"/>
      <color indexed="9"/>
      <name val="Times New Roman"/>
      <family val="1"/>
    </font>
    <font>
      <sz val="8"/>
      <name val="Times New Roman"/>
      <family val="1"/>
    </font>
    <font>
      <b/>
      <sz val="10"/>
      <name val="Times New Roman"/>
      <family val="1"/>
    </font>
    <font>
      <sz val="10"/>
      <name val="Times New Roman"/>
      <family val="1"/>
    </font>
    <font>
      <sz val="16"/>
      <name val="Times New Roman"/>
      <family val="1"/>
    </font>
    <font>
      <b/>
      <i/>
      <sz val="16"/>
      <name val="Times New Roman"/>
      <family val="1"/>
    </font>
    <font>
      <i/>
      <sz val="14"/>
      <name val="Times New Roman"/>
      <family val="1"/>
    </font>
    <font>
      <sz val="14"/>
      <color indexed="9"/>
      <name val="Times New Roman"/>
      <family val="1"/>
    </font>
    <font>
      <sz val="18"/>
      <name val="Times New Roman"/>
      <family val="1"/>
    </font>
    <font>
      <b/>
      <sz val="16"/>
      <name val="Times New Roman"/>
      <family val="1"/>
    </font>
    <font>
      <b/>
      <sz val="22"/>
      <name val="Times New Roman"/>
      <family val="1"/>
    </font>
    <font>
      <sz val="14"/>
      <color indexed="8"/>
      <name val="Calibri"/>
      <family val="2"/>
    </font>
    <font>
      <b/>
      <sz val="18"/>
      <name val="Times New Roman"/>
      <family val="1"/>
    </font>
    <font>
      <i/>
      <sz val="15"/>
      <name val="Times New Roman"/>
      <family val="1"/>
    </font>
    <font>
      <sz val="15"/>
      <name val="Times New Roman"/>
      <family val="1"/>
    </font>
    <font>
      <b/>
      <sz val="11"/>
      <name val="Arial"/>
      <family val="2"/>
    </font>
    <font>
      <sz val="10"/>
      <name val="Arial"/>
      <family val="2"/>
    </font>
    <font>
      <b/>
      <sz val="10"/>
      <name val="Arial"/>
      <family val="2"/>
    </font>
    <font>
      <b/>
      <u val="single"/>
      <sz val="10"/>
      <name val="Arial"/>
      <family val="2"/>
    </font>
    <font>
      <b/>
      <sz val="12"/>
      <color indexed="8"/>
      <name val="Times New Roman"/>
      <family val="1"/>
    </font>
    <font>
      <sz val="12"/>
      <color indexed="8"/>
      <name val="Times New Roman"/>
      <family val="1"/>
    </font>
    <font>
      <i/>
      <sz val="12"/>
      <color indexed="8"/>
      <name val="Times New Roman"/>
      <family val="1"/>
    </font>
    <font>
      <sz val="12"/>
      <name val=".VnTime"/>
      <family val="2"/>
    </font>
    <font>
      <b/>
      <sz val="12"/>
      <name val=".VnTime"/>
      <family val="2"/>
    </font>
    <font>
      <b/>
      <sz val="15"/>
      <name val="Times New Roman"/>
      <family val="1"/>
    </font>
    <font>
      <sz val="9"/>
      <name val="Arial"/>
      <family val="2"/>
    </font>
    <font>
      <sz val="14"/>
      <name val="뼻뮝"/>
      <family val="0"/>
    </font>
    <font>
      <sz val="12"/>
      <name val="¹UAAA¼"/>
      <family val="0"/>
    </font>
    <font>
      <sz val="12"/>
      <name val="Courier"/>
      <family val="3"/>
    </font>
    <font>
      <b/>
      <sz val="12"/>
      <name val="Arial"/>
      <family val="2"/>
    </font>
    <font>
      <sz val="12"/>
      <name val="뼻뮝"/>
      <family val="0"/>
    </font>
    <font>
      <sz val="10"/>
      <name val="VNtimes new roman"/>
      <family val="2"/>
    </font>
    <font>
      <sz val="12"/>
      <name val="바탕체"/>
      <family val="0"/>
    </font>
    <font>
      <sz val="10"/>
      <name val=" "/>
      <family val="0"/>
    </font>
    <font>
      <b/>
      <sz val="11"/>
      <name val=".VnTimeH"/>
      <family val="2"/>
    </font>
    <font>
      <i/>
      <sz val="10"/>
      <name val=".VnTime"/>
      <family val="2"/>
    </font>
    <font>
      <sz val="14"/>
      <name val=".VnTimeH"/>
      <family val="2"/>
    </font>
    <font>
      <b/>
      <sz val="10"/>
      <name val=".VnTimeH"/>
      <family val="2"/>
    </font>
    <font>
      <sz val="10"/>
      <name val="굴림체"/>
      <family val="0"/>
    </font>
    <font>
      <sz val="14"/>
      <name val=".VnArial"/>
      <family val="2"/>
    </font>
    <font>
      <b/>
      <sz val="10"/>
      <name val=".VnTime"/>
      <family val="2"/>
    </font>
    <font>
      <b/>
      <sz val="10"/>
      <name val=".VnArial"/>
      <family val="2"/>
    </font>
    <font>
      <sz val="12"/>
      <name val="Arial"/>
      <family val="2"/>
    </font>
    <font>
      <sz val="13"/>
      <name val="Times New Roman"/>
      <family val="1"/>
    </font>
    <font>
      <sz val="11.5"/>
      <name val="Times New Roman"/>
      <family val="1"/>
    </font>
    <font>
      <sz val="11"/>
      <name val="Times New Roman"/>
      <family val="1"/>
    </font>
    <font>
      <b/>
      <sz val="9"/>
      <name val="Tahoma"/>
      <family val="2"/>
    </font>
    <font>
      <sz val="9"/>
      <name val="Tahoma"/>
      <family val="2"/>
    </font>
    <font>
      <sz val="11"/>
      <color indexed="8"/>
      <name val="Times New Roman"/>
      <family val="1"/>
    </font>
    <font>
      <i/>
      <sz val="10"/>
      <name val="Times New Roman"/>
      <family val="1"/>
    </font>
    <font>
      <b/>
      <sz val="11"/>
      <name val="Times New Roman"/>
      <family val="1"/>
    </font>
    <font>
      <sz val="9"/>
      <name val="Times New Roman"/>
      <family val="1"/>
    </font>
    <font>
      <sz val="11"/>
      <color indexed="8"/>
      <name val="Calibri"/>
      <family val="2"/>
    </font>
    <font>
      <sz val="8"/>
      <color indexed="10"/>
      <name val="Times New Roman"/>
      <family val="1"/>
    </font>
    <font>
      <i/>
      <sz val="13"/>
      <name val="Times New Roman"/>
      <family val="1"/>
    </font>
    <font>
      <b/>
      <sz val="9"/>
      <name val="Times New Roman"/>
      <family val="1"/>
    </font>
    <font>
      <i/>
      <sz val="9"/>
      <name val="Times New Roman"/>
      <family val="1"/>
    </font>
    <font>
      <i/>
      <sz val="11"/>
      <name val="Times New Roman"/>
      <family val="1"/>
    </font>
    <font>
      <b/>
      <u val="single"/>
      <sz val="10"/>
      <name val="Times New Roman"/>
      <family val="1"/>
    </font>
    <font>
      <u val="single"/>
      <sz val="10"/>
      <name val="Times New Roman"/>
      <family val="1"/>
    </font>
    <font>
      <b/>
      <i/>
      <sz val="13"/>
      <name val="Times New Roman"/>
      <family val="1"/>
    </font>
    <font>
      <b/>
      <i/>
      <sz val="10"/>
      <name val="Times New Roman"/>
      <family val="1"/>
    </font>
    <font>
      <sz val="10"/>
      <color indexed="10"/>
      <name val="Times New Roman"/>
      <family val="1"/>
    </font>
    <font>
      <b/>
      <sz val="10"/>
      <color indexed="10"/>
      <name val="Times New Roman"/>
      <family val="1"/>
    </font>
    <font>
      <sz val="13"/>
      <color indexed="10"/>
      <name val="Times New Roman"/>
      <family val="1"/>
    </font>
    <font>
      <sz val="12"/>
      <color indexed="10"/>
      <name val="Times New Roman"/>
      <family val="1"/>
    </font>
    <font>
      <sz val="9"/>
      <color indexed="10"/>
      <name val="Times New Roman"/>
      <family val="1"/>
    </font>
    <font>
      <sz val="11"/>
      <name val=".VnTime"/>
      <family val="2"/>
    </font>
    <font>
      <b/>
      <i/>
      <sz val="9"/>
      <name val="Times New Roman"/>
      <family val="1"/>
    </font>
    <font>
      <b/>
      <u val="single"/>
      <sz val="11"/>
      <name val="Times New Roman"/>
      <family val="1"/>
    </font>
    <font>
      <sz val="10"/>
      <color indexed="8"/>
      <name val="MS Sans Serif"/>
      <family val="2"/>
    </font>
    <font>
      <b/>
      <sz val="8"/>
      <name val="Times New Roman"/>
      <family val="1"/>
    </font>
    <font>
      <i/>
      <sz val="8"/>
      <name val="Times New Roman"/>
      <family val="1"/>
    </font>
    <font>
      <i/>
      <sz val="12"/>
      <name val="Calibri"/>
      <family val="2"/>
    </font>
    <font>
      <sz val="9"/>
      <name val="Calibri"/>
      <family val="2"/>
    </font>
    <font>
      <b/>
      <i/>
      <sz val="11"/>
      <name val="Times New Roman"/>
      <family val="1"/>
    </font>
    <font>
      <i/>
      <sz val="11"/>
      <name val="Arial Narrow"/>
      <family val="2"/>
    </font>
    <font>
      <sz val="11"/>
      <name val="Arial Narrow"/>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Times New Roman"/>
      <family val="2"/>
    </font>
    <font>
      <b/>
      <sz val="11"/>
      <color indexed="8"/>
      <name val="Arial"/>
      <family val="2"/>
    </font>
    <font>
      <sz val="11"/>
      <color indexed="10"/>
      <name val="Arial"/>
      <family val="2"/>
    </font>
    <font>
      <sz val="10"/>
      <color indexed="17"/>
      <name val="Times New Roman"/>
      <family val="1"/>
    </font>
    <font>
      <sz val="12"/>
      <color indexed="30"/>
      <name val="Times New Roman"/>
      <family val="1"/>
    </font>
    <font>
      <sz val="11"/>
      <color indexed="10"/>
      <name val="Times New Roman"/>
      <family val="1"/>
    </font>
    <font>
      <b/>
      <sz val="11"/>
      <color indexed="10"/>
      <name val="Times New Roman"/>
      <family val="1"/>
    </font>
    <font>
      <i/>
      <sz val="10"/>
      <color indexed="10"/>
      <name val="Times New Roman"/>
      <family val="1"/>
    </font>
    <font>
      <i/>
      <sz val="11"/>
      <color indexed="10"/>
      <name val="Times New Roman"/>
      <family val="1"/>
    </font>
    <font>
      <b/>
      <sz val="13"/>
      <color indexed="12"/>
      <name val="Times New Roman"/>
      <family val="1"/>
    </font>
    <font>
      <sz val="13"/>
      <color indexed="12"/>
      <name val="Times New Roman"/>
      <family val="1"/>
    </font>
    <font>
      <i/>
      <sz val="13"/>
      <color indexed="12"/>
      <name val="Times New Roman"/>
      <family val="1"/>
    </font>
    <font>
      <b/>
      <sz val="12"/>
      <color indexed="12"/>
      <name val="Times New Roman"/>
      <family val="1"/>
    </font>
    <font>
      <sz val="12"/>
      <color indexed="12"/>
      <name val="Times New Roman"/>
      <family val="1"/>
    </font>
    <font>
      <sz val="9"/>
      <color indexed="12"/>
      <name val="Times New Roman"/>
      <family val="1"/>
    </font>
    <font>
      <i/>
      <sz val="10"/>
      <color indexed="12"/>
      <name val="Times New Roman"/>
      <family val="1"/>
    </font>
    <font>
      <b/>
      <sz val="10"/>
      <color indexed="17"/>
      <name val="Times New Roman"/>
      <family val="1"/>
    </font>
    <font>
      <b/>
      <sz val="9"/>
      <color indexed="17"/>
      <name val="Times New Roman"/>
      <family val="1"/>
    </font>
    <font>
      <sz val="9"/>
      <color indexed="17"/>
      <name val="Times New Roman"/>
      <family val="1"/>
    </font>
    <font>
      <b/>
      <i/>
      <sz val="10"/>
      <color indexed="17"/>
      <name val="Times New Roman"/>
      <family val="1"/>
    </font>
    <font>
      <b/>
      <i/>
      <sz val="9"/>
      <color indexed="17"/>
      <name val="Times New Roman"/>
      <family val="1"/>
    </font>
    <font>
      <i/>
      <sz val="9"/>
      <color indexed="17"/>
      <name val="Times New Roman"/>
      <family val="1"/>
    </font>
    <font>
      <sz val="9"/>
      <color indexed="8"/>
      <name val="Times New Roman"/>
      <family val="1"/>
    </font>
    <font>
      <b/>
      <sz val="12"/>
      <color indexed="10"/>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z val="11"/>
      <color theme="1"/>
      <name val="Arial"/>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name val="Cambria"/>
      <family val="1"/>
    </font>
    <font>
      <b/>
      <sz val="10"/>
      <name val="Cambria"/>
      <family val="1"/>
    </font>
    <font>
      <i/>
      <sz val="10"/>
      <name val="Cambria"/>
      <family val="1"/>
    </font>
    <font>
      <sz val="10"/>
      <color rgb="FF00B050"/>
      <name val="Times New Roman"/>
      <family val="1"/>
    </font>
    <font>
      <sz val="12"/>
      <color rgb="FF0070C0"/>
      <name val="Times New Roman"/>
      <family val="1"/>
    </font>
    <font>
      <i/>
      <sz val="10"/>
      <color rgb="FFFF0000"/>
      <name val="Times New Roman"/>
      <family val="1"/>
    </font>
    <font>
      <i/>
      <sz val="10"/>
      <color rgb="FFFF0000"/>
      <name val="Cambria"/>
      <family val="1"/>
    </font>
    <font>
      <i/>
      <sz val="11"/>
      <color rgb="FFFF0000"/>
      <name val="Times New Roman"/>
      <family val="1"/>
    </font>
    <font>
      <sz val="10"/>
      <color rgb="FFFF0000"/>
      <name val="Times New Roman"/>
      <family val="1"/>
    </font>
    <font>
      <b/>
      <sz val="13"/>
      <color rgb="FF0000FF"/>
      <name val="Times New Roman"/>
      <family val="1"/>
    </font>
    <font>
      <sz val="13"/>
      <color rgb="FF0000FF"/>
      <name val="Times New Roman"/>
      <family val="1"/>
    </font>
    <font>
      <i/>
      <sz val="13"/>
      <color rgb="FF0000FF"/>
      <name val="Times New Roman"/>
      <family val="1"/>
    </font>
    <font>
      <b/>
      <sz val="12"/>
      <color rgb="FF0000FF"/>
      <name val="Times New Roman"/>
      <family val="1"/>
    </font>
    <font>
      <sz val="12"/>
      <color rgb="FF0000FF"/>
      <name val="Times New Roman"/>
      <family val="1"/>
    </font>
    <font>
      <sz val="9"/>
      <color rgb="FF0000FF"/>
      <name val="Times New Roman"/>
      <family val="1"/>
    </font>
    <font>
      <i/>
      <sz val="10"/>
      <color rgb="FF0000FF"/>
      <name val="Times New Roman"/>
      <family val="1"/>
    </font>
    <font>
      <sz val="12"/>
      <color rgb="FF0000CC"/>
      <name val="Times New Roman"/>
      <family val="1"/>
    </font>
    <font>
      <b/>
      <sz val="10"/>
      <color rgb="FF00B050"/>
      <name val="Times New Roman"/>
      <family val="1"/>
    </font>
    <font>
      <b/>
      <sz val="9"/>
      <color rgb="FF00B050"/>
      <name val="Times New Roman"/>
      <family val="1"/>
    </font>
    <font>
      <sz val="9"/>
      <color rgb="FF00B050"/>
      <name val="Times New Roman"/>
      <family val="1"/>
    </font>
    <font>
      <b/>
      <i/>
      <sz val="10"/>
      <color rgb="FF00B050"/>
      <name val="Times New Roman"/>
      <family val="1"/>
    </font>
    <font>
      <b/>
      <i/>
      <sz val="9"/>
      <color rgb="FF00B050"/>
      <name val="Times New Roman"/>
      <family val="1"/>
    </font>
    <font>
      <i/>
      <sz val="9"/>
      <color rgb="FF00B050"/>
      <name val="Times New Roman"/>
      <family val="1"/>
    </font>
    <font>
      <sz val="9"/>
      <color theme="1"/>
      <name val="Times New Roman"/>
      <family val="1"/>
    </font>
    <font>
      <sz val="12"/>
      <color rgb="FFFF0000"/>
      <name val="Times New Roman"/>
      <family val="1"/>
    </font>
    <font>
      <b/>
      <sz val="12"/>
      <color rgb="FFFF0000"/>
      <name val="Times New Roman"/>
      <family val="1"/>
    </font>
    <font>
      <sz val="9"/>
      <color rgb="FFFF0000"/>
      <name val="Times New Roman"/>
      <family val="1"/>
    </font>
    <font>
      <sz val="11"/>
      <color rgb="FFFF0000"/>
      <name val="Times New Roman"/>
      <family val="1"/>
    </font>
    <font>
      <b/>
      <sz val="11"/>
      <color rgb="FFFF0000"/>
      <name val="Times New Roman"/>
      <family val="1"/>
    </font>
    <font>
      <b/>
      <sz val="10"/>
      <color rgb="FFFF0000"/>
      <name val="Times New Roman"/>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rgb="FFFFFF00"/>
        <bgColor indexed="64"/>
      </patternFill>
    </fill>
    <fill>
      <patternFill patternType="solid">
        <fgColor indexed="13"/>
        <bgColor indexed="64"/>
      </patternFill>
    </fill>
  </fills>
  <borders count="40">
    <border>
      <left/>
      <right/>
      <top/>
      <bottom/>
      <diagonal/>
    </border>
    <border>
      <left/>
      <right/>
      <top/>
      <bottom style="thin"/>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style="medium"/>
      <bottom style="medium"/>
    </border>
    <border>
      <left/>
      <right/>
      <top style="thin"/>
      <bottom style="thin"/>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right style="thin"/>
      <top/>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style="thin"/>
      <top style="hair"/>
      <bottom style="hair"/>
    </border>
    <border>
      <left>
        <color indexed="63"/>
      </left>
      <right>
        <color indexed="63"/>
      </right>
      <top style="thin">
        <color theme="4"/>
      </top>
      <bottom style="double">
        <color theme="4"/>
      </bottom>
    </border>
    <border>
      <left style="thin"/>
      <right style="thin"/>
      <top style="thin"/>
      <bottom style="thin"/>
    </border>
    <border>
      <left style="thin"/>
      <right style="thin"/>
      <top/>
      <bottom style="hair"/>
    </border>
    <border>
      <left style="thin"/>
      <right/>
      <top style="hair"/>
      <bottom style="hair"/>
    </border>
    <border>
      <left style="thin"/>
      <right style="thin"/>
      <top style="hair"/>
      <bottom style="thin"/>
    </border>
    <border>
      <left style="thin"/>
      <right style="thin"/>
      <top style="thin"/>
      <bottom style="double"/>
    </border>
    <border>
      <left style="thin"/>
      <right style="thin"/>
      <top style="thin"/>
      <bottom/>
    </border>
    <border>
      <left style="thin"/>
      <right style="thin"/>
      <top/>
      <bottom style="thin"/>
    </border>
    <border>
      <left style="thin"/>
      <right style="thin"/>
      <top style="thin"/>
      <bottom style="hair"/>
    </border>
    <border>
      <left style="thin"/>
      <right style="thin"/>
      <top style="hair"/>
      <bottom/>
    </border>
    <border>
      <left style="thin"/>
      <right style="thin"/>
      <top style="thin"/>
      <bottom style="dotted"/>
    </border>
    <border>
      <left style="thin"/>
      <right style="thin"/>
      <top style="dotted"/>
      <bottom style="thin"/>
    </border>
    <border>
      <left style="thin"/>
      <right style="thin"/>
      <top style="dotted"/>
      <bottom style="dotted"/>
    </border>
    <border>
      <left style="thin"/>
      <right style="thin"/>
      <top style="thin"/>
      <bottom style="dashed"/>
    </border>
    <border>
      <left style="thin"/>
      <right style="thin"/>
      <top style="dashed"/>
      <bottom style="dashed"/>
    </border>
    <border>
      <left style="thin"/>
      <right style="thin"/>
      <top style="dashed"/>
      <bottom style="thin"/>
    </border>
    <border>
      <left/>
      <right style="thin"/>
      <top style="thin"/>
      <bottom style="thin"/>
    </border>
    <border>
      <left/>
      <right style="thin"/>
      <top/>
      <bottom style="hair"/>
    </border>
    <border>
      <left/>
      <right style="thin"/>
      <top style="thin"/>
      <bottom/>
    </border>
    <border>
      <left style="thin"/>
      <right/>
      <top style="thin"/>
      <bottom style="thin"/>
    </border>
    <border>
      <left style="thin"/>
      <right/>
      <top/>
      <bottom/>
    </border>
    <border>
      <left style="thin"/>
      <right/>
      <top style="thin"/>
      <bottom/>
    </border>
    <border>
      <left/>
      <right/>
      <top style="thin"/>
      <bottom/>
    </border>
    <border>
      <left/>
      <right style="thin"/>
      <top/>
      <bottom/>
    </border>
    <border>
      <left style="thin"/>
      <right/>
      <top/>
      <bottom style="thin"/>
    </border>
    <border>
      <left/>
      <right style="thin"/>
      <top/>
      <bottom style="thin"/>
    </border>
  </borders>
  <cellStyleXfs count="17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0" borderId="0">
      <alignment/>
      <protection/>
    </xf>
    <xf numFmtId="0" fontId="79" fillId="0" borderId="0">
      <alignment/>
      <protection/>
    </xf>
    <xf numFmtId="0" fontId="124" fillId="2" borderId="0" applyNumberFormat="0" applyBorder="0" applyAlignment="0" applyProtection="0"/>
    <xf numFmtId="0" fontId="124" fillId="3" borderId="0" applyNumberFormat="0" applyBorder="0" applyAlignment="0" applyProtection="0"/>
    <xf numFmtId="0" fontId="124" fillId="4" borderId="0" applyNumberFormat="0" applyBorder="0" applyAlignment="0" applyProtection="0"/>
    <xf numFmtId="0" fontId="124" fillId="5" borderId="0" applyNumberFormat="0" applyBorder="0" applyAlignment="0" applyProtection="0"/>
    <xf numFmtId="0" fontId="124" fillId="6" borderId="0" applyNumberFormat="0" applyBorder="0" applyAlignment="0" applyProtection="0"/>
    <xf numFmtId="0" fontId="124" fillId="7" borderId="0" applyNumberFormat="0" applyBorder="0" applyAlignment="0" applyProtection="0"/>
    <xf numFmtId="0" fontId="124" fillId="8" borderId="0" applyNumberFormat="0" applyBorder="0" applyAlignment="0" applyProtection="0"/>
    <xf numFmtId="0" fontId="124" fillId="9" borderId="0" applyNumberFormat="0" applyBorder="0" applyAlignment="0" applyProtection="0"/>
    <xf numFmtId="0" fontId="124" fillId="10" borderId="0" applyNumberFormat="0" applyBorder="0" applyAlignment="0" applyProtection="0"/>
    <xf numFmtId="0" fontId="124" fillId="11" borderId="0" applyNumberFormat="0" applyBorder="0" applyAlignment="0" applyProtection="0"/>
    <xf numFmtId="0" fontId="124" fillId="12" borderId="0" applyNumberFormat="0" applyBorder="0" applyAlignment="0" applyProtection="0"/>
    <xf numFmtId="0" fontId="124" fillId="13" borderId="0" applyNumberFormat="0" applyBorder="0" applyAlignment="0" applyProtection="0"/>
    <xf numFmtId="175" fontId="45" fillId="0" borderId="1" applyNumberFormat="0" applyFont="0" applyBorder="0" applyAlignment="0">
      <protection/>
    </xf>
    <xf numFmtId="0" fontId="125" fillId="14" borderId="0" applyNumberFormat="0" applyBorder="0" applyAlignment="0" applyProtection="0"/>
    <xf numFmtId="0" fontId="125" fillId="15" borderId="0" applyNumberFormat="0" applyBorder="0" applyAlignment="0" applyProtection="0"/>
    <xf numFmtId="0" fontId="125" fillId="16" borderId="0" applyNumberFormat="0" applyBorder="0" applyAlignment="0" applyProtection="0"/>
    <xf numFmtId="0" fontId="125" fillId="17" borderId="0" applyNumberFormat="0" applyBorder="0" applyAlignment="0" applyProtection="0"/>
    <xf numFmtId="0" fontId="125" fillId="18" borderId="0" applyNumberFormat="0" applyBorder="0" applyAlignment="0" applyProtection="0"/>
    <xf numFmtId="0" fontId="125" fillId="19" borderId="0" applyNumberFormat="0" applyBorder="0" applyAlignment="0" applyProtection="0"/>
    <xf numFmtId="0" fontId="125" fillId="20" borderId="0" applyNumberFormat="0" applyBorder="0" applyAlignment="0" applyProtection="0"/>
    <xf numFmtId="0" fontId="125" fillId="21" borderId="0" applyNumberFormat="0" applyBorder="0" applyAlignment="0" applyProtection="0"/>
    <xf numFmtId="0" fontId="125" fillId="22" borderId="0" applyNumberFormat="0" applyBorder="0" applyAlignment="0" applyProtection="0"/>
    <xf numFmtId="0" fontId="125" fillId="23" borderId="0" applyNumberFormat="0" applyBorder="0" applyAlignment="0" applyProtection="0"/>
    <xf numFmtId="0" fontId="125" fillId="24" borderId="0" applyNumberFormat="0" applyBorder="0" applyAlignment="0" applyProtection="0"/>
    <xf numFmtId="0" fontId="125" fillId="25" borderId="0" applyNumberFormat="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126" fillId="26" borderId="0" applyNumberFormat="0" applyBorder="0" applyAlignment="0" applyProtection="0"/>
    <xf numFmtId="0" fontId="36" fillId="0" borderId="0">
      <alignment/>
      <protection/>
    </xf>
    <xf numFmtId="0" fontId="36" fillId="0" borderId="0">
      <alignment/>
      <protection/>
    </xf>
    <xf numFmtId="0" fontId="127"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164" fontId="0" fillId="0" borderId="0" applyFont="0" applyFill="0" applyBorder="0" applyAlignment="0" applyProtection="0"/>
    <xf numFmtId="178" fontId="0" fillId="0" borderId="0" applyFont="0" applyFill="0" applyBorder="0" applyAlignment="0" applyProtection="0"/>
    <xf numFmtId="164" fontId="29" fillId="0" borderId="0" applyFont="0" applyFill="0" applyBorder="0" applyAlignment="0" applyProtection="0"/>
    <xf numFmtId="43" fontId="29" fillId="0" borderId="0" applyFont="0" applyFill="0" applyBorder="0" applyAlignment="0" applyProtection="0"/>
    <xf numFmtId="190" fontId="31" fillId="0" borderId="0" applyFont="0" applyFill="0" applyBorder="0" applyAlignment="0" applyProtection="0"/>
    <xf numFmtId="179" fontId="25" fillId="0" borderId="0" applyFont="0" applyFill="0" applyBorder="0" applyAlignment="0" applyProtection="0"/>
    <xf numFmtId="164" fontId="31" fillId="0" borderId="0" applyFont="0" applyFill="0" applyBorder="0" applyAlignment="0" applyProtection="0"/>
    <xf numFmtId="164" fontId="0" fillId="0" borderId="0" applyFont="0" applyFill="0" applyBorder="0" applyAlignment="0" applyProtection="0"/>
    <xf numFmtId="173" fontId="31" fillId="0" borderId="0" applyFont="0" applyFill="0" applyBorder="0" applyAlignment="0" applyProtection="0"/>
    <xf numFmtId="173" fontId="3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3" fontId="31" fillId="0" borderId="0" applyFont="0" applyFill="0" applyBorder="0" applyAlignment="0" applyProtection="0"/>
    <xf numFmtId="173" fontId="31" fillId="0" borderId="0" applyFont="0" applyFill="0" applyBorder="0" applyAlignment="0" applyProtection="0"/>
    <xf numFmtId="43" fontId="0" fillId="0" borderId="0" applyFont="0" applyFill="0" applyBorder="0" applyAlignment="0" applyProtection="0"/>
    <xf numFmtId="164" fontId="0" fillId="0" borderId="0" applyFont="0" applyFill="0" applyBorder="0" applyAlignment="0" applyProtection="0"/>
    <xf numFmtId="178" fontId="0" fillId="0" borderId="0" applyFont="0" applyFill="0" applyBorder="0" applyAlignment="0" applyProtection="0"/>
    <xf numFmtId="164" fontId="0" fillId="0" borderId="0" applyFont="0" applyFill="0" applyBorder="0" applyAlignment="0" applyProtection="0"/>
    <xf numFmtId="178" fontId="0" fillId="0" borderId="0" applyFont="0" applyFill="0" applyBorder="0" applyAlignment="0" applyProtection="0"/>
    <xf numFmtId="43" fontId="0" fillId="0" borderId="0" applyFont="0" applyFill="0" applyBorder="0" applyAlignment="0" applyProtection="0"/>
    <xf numFmtId="164" fontId="61" fillId="0" borderId="0" applyFont="0" applyFill="0" applyBorder="0" applyAlignment="0" applyProtection="0"/>
    <xf numFmtId="3" fontId="25"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65" fontId="25" fillId="0" borderId="0" applyFont="0" applyFill="0" applyBorder="0" applyAlignment="0" applyProtection="0"/>
    <xf numFmtId="0" fontId="128" fillId="28" borderId="3" applyNumberFormat="0" applyAlignment="0" applyProtection="0"/>
    <xf numFmtId="0" fontId="25" fillId="0" borderId="0" applyFont="0" applyFill="0" applyBorder="0" applyAlignment="0" applyProtection="0"/>
    <xf numFmtId="43"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0" fontId="129" fillId="0" borderId="0" applyNumberFormat="0" applyFill="0" applyBorder="0" applyAlignment="0" applyProtection="0"/>
    <xf numFmtId="2" fontId="25" fillId="0" borderId="0" applyFont="0" applyFill="0" applyBorder="0" applyAlignment="0" applyProtection="0"/>
    <xf numFmtId="0" fontId="130" fillId="29" borderId="0" applyNumberFormat="0" applyBorder="0" applyAlignment="0" applyProtection="0"/>
    <xf numFmtId="0" fontId="38" fillId="0" borderId="4" applyNumberFormat="0" applyAlignment="0" applyProtection="0"/>
    <xf numFmtId="0" fontId="38" fillId="0" borderId="5">
      <alignment horizontal="left" vertical="center"/>
      <protection/>
    </xf>
    <xf numFmtId="0" fontId="131" fillId="0" borderId="6" applyNumberFormat="0" applyFill="0" applyAlignment="0" applyProtection="0"/>
    <xf numFmtId="0" fontId="132" fillId="0" borderId="7" applyNumberFormat="0" applyFill="0" applyAlignment="0" applyProtection="0"/>
    <xf numFmtId="0" fontId="133" fillId="0" borderId="8" applyNumberFormat="0" applyFill="0" applyAlignment="0" applyProtection="0"/>
    <xf numFmtId="0" fontId="133" fillId="0" borderId="0" applyNumberFormat="0" applyFill="0" applyBorder="0" applyAlignment="0" applyProtection="0"/>
    <xf numFmtId="0" fontId="134" fillId="30" borderId="2" applyNumberFormat="0" applyAlignment="0" applyProtection="0"/>
    <xf numFmtId="0" fontId="135" fillId="0" borderId="9" applyNumberFormat="0" applyFill="0" applyAlignment="0" applyProtection="0"/>
    <xf numFmtId="3" fontId="44" fillId="0" borderId="10" applyNumberFormat="0" applyAlignment="0">
      <protection/>
    </xf>
    <xf numFmtId="3" fontId="50" fillId="0" borderId="10" applyNumberFormat="0" applyAlignment="0">
      <protection/>
    </xf>
    <xf numFmtId="3" fontId="49" fillId="0" borderId="10" applyNumberFormat="0" applyAlignment="0">
      <protection/>
    </xf>
    <xf numFmtId="0" fontId="51" fillId="0" borderId="0" applyNumberFormat="0" applyFont="0" applyFill="0" applyAlignment="0">
      <protection/>
    </xf>
    <xf numFmtId="0" fontId="136" fillId="31" borderId="0" applyNumberFormat="0" applyBorder="0" applyAlignment="0" applyProtection="0"/>
    <xf numFmtId="177" fontId="4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24" fillId="0" borderId="0">
      <alignment/>
      <protection/>
    </xf>
    <xf numFmtId="0" fontId="0" fillId="0" borderId="0">
      <alignment/>
      <protection/>
    </xf>
    <xf numFmtId="0" fontId="124" fillId="0" borderId="0">
      <alignment/>
      <protection/>
    </xf>
    <xf numFmtId="0" fontId="0" fillId="0" borderId="0">
      <alignment/>
      <protection/>
    </xf>
    <xf numFmtId="0" fontId="0" fillId="0" borderId="0">
      <alignment/>
      <protection/>
    </xf>
    <xf numFmtId="0" fontId="124" fillId="0" borderId="0">
      <alignment/>
      <protection/>
    </xf>
    <xf numFmtId="0" fontId="0" fillId="0" borderId="0">
      <alignment/>
      <protection/>
    </xf>
    <xf numFmtId="0" fontId="0" fillId="0" borderId="0">
      <alignment/>
      <protection/>
    </xf>
    <xf numFmtId="0" fontId="25" fillId="0" borderId="0">
      <alignment/>
      <protection/>
    </xf>
    <xf numFmtId="0" fontId="0" fillId="0" borderId="0">
      <alignment/>
      <protection/>
    </xf>
    <xf numFmtId="0" fontId="25" fillId="0" borderId="0">
      <alignment/>
      <protection/>
    </xf>
    <xf numFmtId="0" fontId="25" fillId="0" borderId="0">
      <alignment/>
      <protection/>
    </xf>
    <xf numFmtId="0" fontId="0" fillId="0" borderId="0">
      <alignment/>
      <protection/>
    </xf>
    <xf numFmtId="0" fontId="31" fillId="0" borderId="0">
      <alignment/>
      <protection/>
    </xf>
    <xf numFmtId="0" fontId="137" fillId="0" borderId="0">
      <alignment/>
      <protection/>
    </xf>
    <xf numFmtId="0" fontId="0" fillId="0" borderId="0">
      <alignment/>
      <protection/>
    </xf>
    <xf numFmtId="0" fontId="2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0" borderId="0">
      <alignment/>
      <protection/>
    </xf>
    <xf numFmtId="0" fontId="31" fillId="0" borderId="0">
      <alignment/>
      <protection/>
    </xf>
    <xf numFmtId="0" fontId="31" fillId="0" borderId="0">
      <alignment/>
      <protection/>
    </xf>
    <xf numFmtId="0" fontId="0" fillId="0" borderId="0">
      <alignment/>
      <protection/>
    </xf>
    <xf numFmtId="0" fontId="0" fillId="0" borderId="0">
      <alignment/>
      <protection/>
    </xf>
    <xf numFmtId="0" fontId="31" fillId="0" borderId="0">
      <alignment/>
      <protection/>
    </xf>
    <xf numFmtId="0" fontId="0" fillId="0" borderId="0">
      <alignment/>
      <protection/>
    </xf>
    <xf numFmtId="0" fontId="25" fillId="0" borderId="0">
      <alignment/>
      <protection/>
    </xf>
    <xf numFmtId="0" fontId="6" fillId="0" borderId="0">
      <alignment/>
      <protection/>
    </xf>
    <xf numFmtId="0" fontId="0" fillId="32" borderId="11" applyNumberFormat="0" applyFont="0" applyAlignment="0" applyProtection="0"/>
    <xf numFmtId="0" fontId="138" fillId="27" borderId="12"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139" fillId="0" borderId="0" applyNumberFormat="0" applyFill="0" applyBorder="0" applyAlignment="0" applyProtection="0"/>
    <xf numFmtId="3" fontId="46" fillId="0" borderId="10" applyNumberFormat="0" applyAlignment="0">
      <protection/>
    </xf>
    <xf numFmtId="3" fontId="43" fillId="0" borderId="13" applyNumberFormat="0" applyAlignment="0">
      <protection/>
    </xf>
    <xf numFmtId="0" fontId="140" fillId="0" borderId="14" applyNumberFormat="0" applyFill="0" applyAlignment="0" applyProtection="0"/>
    <xf numFmtId="0" fontId="141" fillId="0" borderId="0" applyNumberFormat="0" applyFill="0" applyBorder="0" applyAlignment="0" applyProtection="0"/>
    <xf numFmtId="0" fontId="48" fillId="0" borderId="0" applyNumberFormat="0" applyFill="0" applyBorder="0" applyAlignment="0" applyProtection="0"/>
    <xf numFmtId="0" fontId="42" fillId="0" borderId="0" applyFont="0" applyFill="0" applyBorder="0" applyAlignment="0" applyProtection="0"/>
    <xf numFmtId="0" fontId="42" fillId="0" borderId="0" applyFont="0" applyFill="0" applyBorder="0" applyAlignment="0" applyProtection="0"/>
    <xf numFmtId="0" fontId="0" fillId="0" borderId="0">
      <alignment vertical="center"/>
      <protection/>
    </xf>
    <xf numFmtId="40" fontId="35" fillId="0" borderId="0" applyFont="0" applyFill="0" applyBorder="0" applyAlignment="0" applyProtection="0"/>
    <xf numFmtId="38" fontId="35" fillId="0" borderId="0" applyFont="0" applyFill="0" applyBorder="0" applyAlignment="0" applyProtection="0"/>
    <xf numFmtId="0" fontId="35" fillId="0" borderId="0" applyFont="0" applyFill="0" applyBorder="0" applyAlignment="0" applyProtection="0"/>
    <xf numFmtId="0" fontId="35" fillId="0" borderId="0" applyFont="0" applyFill="0" applyBorder="0" applyAlignment="0" applyProtection="0"/>
    <xf numFmtId="9" fontId="41" fillId="0" borderId="0" applyFont="0" applyFill="0" applyBorder="0" applyAlignment="0" applyProtection="0"/>
    <xf numFmtId="0" fontId="39" fillId="0" borderId="0">
      <alignment/>
      <protection/>
    </xf>
    <xf numFmtId="170" fontId="25" fillId="0" borderId="0" applyFont="0" applyFill="0" applyBorder="0" applyAlignment="0" applyProtection="0"/>
    <xf numFmtId="168" fontId="25" fillId="0" borderId="0" applyFont="0" applyFill="0" applyBorder="0" applyAlignment="0" applyProtection="0"/>
    <xf numFmtId="180" fontId="41" fillId="0" borderId="0" applyFont="0" applyFill="0" applyBorder="0" applyAlignment="0" applyProtection="0"/>
    <xf numFmtId="167" fontId="41" fillId="0" borderId="0" applyFont="0" applyFill="0" applyBorder="0" applyAlignment="0" applyProtection="0"/>
    <xf numFmtId="0" fontId="47" fillId="0" borderId="0">
      <alignment/>
      <protection/>
    </xf>
    <xf numFmtId="0" fontId="51" fillId="0" borderId="0">
      <alignment/>
      <protection/>
    </xf>
    <xf numFmtId="174" fontId="34" fillId="0" borderId="0" applyFont="0" applyFill="0" applyBorder="0" applyAlignment="0" applyProtection="0"/>
    <xf numFmtId="178" fontId="34" fillId="0" borderId="0" applyFont="0" applyFill="0" applyBorder="0" applyAlignment="0" applyProtection="0"/>
    <xf numFmtId="176" fontId="34" fillId="0" borderId="0" applyFont="0" applyFill="0" applyBorder="0" applyAlignment="0" applyProtection="0"/>
    <xf numFmtId="171" fontId="37" fillId="0" borderId="0" applyFont="0" applyFill="0" applyBorder="0" applyAlignment="0" applyProtection="0"/>
    <xf numFmtId="166" fontId="34" fillId="0" borderId="0" applyFont="0" applyFill="0" applyBorder="0" applyAlignment="0" applyProtection="0"/>
  </cellStyleXfs>
  <cellXfs count="1645">
    <xf numFmtId="0" fontId="0" fillId="0" borderId="0" xfId="0" applyAlignment="1">
      <alignment/>
    </xf>
    <xf numFmtId="0" fontId="7" fillId="0" borderId="0" xfId="141" applyFont="1" applyAlignment="1">
      <alignment horizontal="right" vertical="center"/>
      <protection/>
    </xf>
    <xf numFmtId="0" fontId="0" fillId="0" borderId="0" xfId="0" applyFont="1" applyAlignment="1">
      <alignment horizontal="center" vertical="center" wrapText="1"/>
    </xf>
    <xf numFmtId="0" fontId="0" fillId="0" borderId="0" xfId="0" applyFont="1" applyAlignment="1">
      <alignment horizontal="center" vertical="center"/>
    </xf>
    <xf numFmtId="0" fontId="5" fillId="0" borderId="0" xfId="0" applyFont="1" applyAlignment="1">
      <alignment vertical="center"/>
    </xf>
    <xf numFmtId="0" fontId="4" fillId="0" borderId="0" xfId="0" applyFont="1" applyAlignment="1">
      <alignment vertical="center"/>
    </xf>
    <xf numFmtId="0" fontId="0" fillId="0" borderId="0" xfId="0" applyFont="1" applyAlignment="1">
      <alignment vertical="center"/>
    </xf>
    <xf numFmtId="3" fontId="0" fillId="0" borderId="15" xfId="133" applyNumberFormat="1" applyFont="1" applyFill="1" applyBorder="1" applyAlignment="1">
      <alignment horizontal="center" vertical="center" wrapText="1"/>
      <protection/>
    </xf>
    <xf numFmtId="3" fontId="6" fillId="0" borderId="15" xfId="133" applyNumberFormat="1" applyFont="1" applyFill="1" applyBorder="1" applyAlignment="1">
      <alignment horizontal="center" vertical="center" wrapText="1"/>
      <protection/>
    </xf>
    <xf numFmtId="0" fontId="5" fillId="0" borderId="15" xfId="0" applyFont="1" applyBorder="1" applyAlignment="1">
      <alignment vertical="center"/>
    </xf>
    <xf numFmtId="0" fontId="5" fillId="0" borderId="15" xfId="0" applyFont="1" applyBorder="1" applyAlignment="1">
      <alignment horizontal="center" vertical="center"/>
    </xf>
    <xf numFmtId="0" fontId="5" fillId="0" borderId="15" xfId="0" applyFont="1" applyBorder="1" applyAlignment="1">
      <alignment vertical="center" wrapText="1"/>
    </xf>
    <xf numFmtId="0" fontId="0" fillId="0" borderId="15" xfId="0" applyFont="1" applyBorder="1" applyAlignment="1">
      <alignment vertical="center"/>
    </xf>
    <xf numFmtId="0" fontId="8" fillId="0" borderId="15" xfId="0" applyFont="1" applyBorder="1" applyAlignment="1">
      <alignment vertical="center"/>
    </xf>
    <xf numFmtId="0" fontId="4" fillId="0" borderId="15" xfId="0" applyFont="1" applyBorder="1" applyAlignment="1">
      <alignment vertical="center"/>
    </xf>
    <xf numFmtId="0" fontId="0" fillId="0" borderId="15" xfId="0" applyFont="1" applyBorder="1" applyAlignment="1">
      <alignment horizontal="center" vertical="center"/>
    </xf>
    <xf numFmtId="0" fontId="4" fillId="0" borderId="15" xfId="0" applyFont="1" applyBorder="1" applyAlignment="1">
      <alignment horizontal="center" vertical="center"/>
    </xf>
    <xf numFmtId="0" fontId="8" fillId="0" borderId="15" xfId="0" applyFont="1" applyBorder="1" applyAlignment="1">
      <alignment vertical="center" wrapText="1"/>
    </xf>
    <xf numFmtId="0" fontId="0" fillId="0" borderId="0" xfId="0" applyFont="1" applyAlignment="1">
      <alignment/>
    </xf>
    <xf numFmtId="0" fontId="5" fillId="0" borderId="0" xfId="0" applyFont="1" applyAlignment="1">
      <alignment/>
    </xf>
    <xf numFmtId="0" fontId="5" fillId="0" borderId="15" xfId="0" applyFont="1" applyBorder="1" applyAlignment="1">
      <alignment horizontal="center" vertical="center" wrapText="1"/>
    </xf>
    <xf numFmtId="0" fontId="5" fillId="0" borderId="15" xfId="0" applyFont="1" applyBorder="1" applyAlignment="1">
      <alignment horizontal="center"/>
    </xf>
    <xf numFmtId="0" fontId="0" fillId="0" borderId="15" xfId="0" applyFont="1" applyBorder="1" applyAlignment="1">
      <alignment/>
    </xf>
    <xf numFmtId="0" fontId="5" fillId="0" borderId="15" xfId="0" applyFont="1" applyBorder="1" applyAlignment="1">
      <alignment/>
    </xf>
    <xf numFmtId="0" fontId="0" fillId="0" borderId="0" xfId="0" applyFont="1" applyAlignment="1">
      <alignment horizontal="right"/>
    </xf>
    <xf numFmtId="1" fontId="0" fillId="0" borderId="0" xfId="133" applyNumberFormat="1" applyFont="1" applyFill="1" applyAlignment="1">
      <alignment vertical="center"/>
      <protection/>
    </xf>
    <xf numFmtId="1" fontId="9" fillId="0" borderId="0" xfId="133" applyNumberFormat="1" applyFont="1" applyFill="1" applyAlignment="1">
      <alignment vertical="center"/>
      <protection/>
    </xf>
    <xf numFmtId="3" fontId="10" fillId="0" borderId="0" xfId="133" applyNumberFormat="1" applyFont="1" applyBorder="1" applyAlignment="1">
      <alignment vertical="center" wrapText="1"/>
      <protection/>
    </xf>
    <xf numFmtId="3" fontId="10" fillId="0" borderId="0" xfId="133" applyNumberFormat="1" applyFont="1" applyFill="1" applyBorder="1" applyAlignment="1">
      <alignment vertical="center" wrapText="1"/>
      <protection/>
    </xf>
    <xf numFmtId="1" fontId="11" fillId="0" borderId="0" xfId="133" applyNumberFormat="1" applyFont="1" applyFill="1" applyAlignment="1">
      <alignment vertical="center"/>
      <protection/>
    </xf>
    <xf numFmtId="1" fontId="12" fillId="0" borderId="0" xfId="133" applyNumberFormat="1" applyFont="1" applyFill="1" applyAlignment="1">
      <alignment horizontal="center" vertical="center"/>
      <protection/>
    </xf>
    <xf numFmtId="1" fontId="12" fillId="0" borderId="0" xfId="133" applyNumberFormat="1" applyFont="1" applyFill="1" applyAlignment="1">
      <alignment vertical="center" wrapText="1"/>
      <protection/>
    </xf>
    <xf numFmtId="1" fontId="12" fillId="0" borderId="0" xfId="133" applyNumberFormat="1" applyFont="1" applyFill="1" applyAlignment="1">
      <alignment horizontal="center" vertical="center" wrapText="1"/>
      <protection/>
    </xf>
    <xf numFmtId="1" fontId="12" fillId="0" borderId="0" xfId="133" applyNumberFormat="1" applyFont="1" applyFill="1" applyAlignment="1">
      <alignment horizontal="right" vertical="center"/>
      <protection/>
    </xf>
    <xf numFmtId="1" fontId="12" fillId="0" borderId="0" xfId="133" applyNumberFormat="1" applyFont="1" applyFill="1" applyAlignment="1">
      <alignment vertical="center"/>
      <protection/>
    </xf>
    <xf numFmtId="1" fontId="5" fillId="0" borderId="0" xfId="133" applyNumberFormat="1" applyFont="1" applyFill="1" applyAlignment="1">
      <alignment vertical="center"/>
      <protection/>
    </xf>
    <xf numFmtId="0" fontId="0" fillId="0" borderId="0" xfId="0" applyFont="1" applyAlignment="1">
      <alignment/>
    </xf>
    <xf numFmtId="1" fontId="4" fillId="0" borderId="0" xfId="133" applyNumberFormat="1" applyFont="1" applyFill="1" applyAlignment="1">
      <alignment horizontal="center" vertical="center" wrapText="1"/>
      <protection/>
    </xf>
    <xf numFmtId="1" fontId="0" fillId="0" borderId="16" xfId="133" applyNumberFormat="1" applyFont="1" applyFill="1" applyBorder="1" applyAlignment="1">
      <alignment horizontal="center" vertical="center"/>
      <protection/>
    </xf>
    <xf numFmtId="1" fontId="5" fillId="0" borderId="16" xfId="133" applyNumberFormat="1" applyFont="1" applyFill="1" applyBorder="1" applyAlignment="1">
      <alignment horizontal="center" vertical="center" wrapText="1"/>
      <protection/>
    </xf>
    <xf numFmtId="1" fontId="0" fillId="0" borderId="16" xfId="133" applyNumberFormat="1" applyFont="1" applyFill="1" applyBorder="1" applyAlignment="1">
      <alignment horizontal="center" vertical="center" wrapText="1"/>
      <protection/>
    </xf>
    <xf numFmtId="1" fontId="0" fillId="0" borderId="16" xfId="133" applyNumberFormat="1" applyFont="1" applyFill="1" applyBorder="1" applyAlignment="1">
      <alignment horizontal="right" vertical="center"/>
      <protection/>
    </xf>
    <xf numFmtId="1" fontId="5" fillId="0" borderId="13" xfId="133" applyNumberFormat="1" applyFont="1" applyFill="1" applyBorder="1" applyAlignment="1">
      <alignment horizontal="center" vertical="center"/>
      <protection/>
    </xf>
    <xf numFmtId="1" fontId="5" fillId="0" borderId="17" xfId="133" applyNumberFormat="1" applyFont="1" applyFill="1" applyBorder="1" applyAlignment="1">
      <alignment vertical="center" wrapText="1"/>
      <protection/>
    </xf>
    <xf numFmtId="1" fontId="5" fillId="0" borderId="13" xfId="133" applyNumberFormat="1" applyFont="1" applyFill="1" applyBorder="1" applyAlignment="1">
      <alignment horizontal="center" vertical="center" wrapText="1"/>
      <protection/>
    </xf>
    <xf numFmtId="1" fontId="5" fillId="0" borderId="13" xfId="133" applyNumberFormat="1" applyFont="1" applyFill="1" applyBorder="1" applyAlignment="1">
      <alignment horizontal="right" vertical="center"/>
      <protection/>
    </xf>
    <xf numFmtId="1" fontId="0" fillId="0" borderId="13" xfId="133" applyNumberFormat="1" applyFont="1" applyFill="1" applyBorder="1" applyAlignment="1">
      <alignment horizontal="center" vertical="center"/>
      <protection/>
    </xf>
    <xf numFmtId="1" fontId="0" fillId="0" borderId="13" xfId="133" applyNumberFormat="1" applyFont="1" applyFill="1" applyBorder="1" applyAlignment="1">
      <alignment vertical="center" wrapText="1"/>
      <protection/>
    </xf>
    <xf numFmtId="1" fontId="0" fillId="0" borderId="13" xfId="133" applyNumberFormat="1" applyFont="1" applyFill="1" applyBorder="1" applyAlignment="1">
      <alignment horizontal="center" vertical="center" wrapText="1"/>
      <protection/>
    </xf>
    <xf numFmtId="1" fontId="0" fillId="0" borderId="13" xfId="133" applyNumberFormat="1" applyFont="1" applyFill="1" applyBorder="1" applyAlignment="1">
      <alignment horizontal="right" vertical="center"/>
      <protection/>
    </xf>
    <xf numFmtId="1" fontId="5" fillId="0" borderId="13" xfId="133" applyNumberFormat="1" applyFont="1" applyFill="1" applyBorder="1" applyAlignment="1">
      <alignment vertical="center" wrapText="1"/>
      <protection/>
    </xf>
    <xf numFmtId="1" fontId="0" fillId="0" borderId="18" xfId="133" applyNumberFormat="1" applyFont="1" applyFill="1" applyBorder="1" applyAlignment="1">
      <alignment horizontal="center" vertical="center"/>
      <protection/>
    </xf>
    <xf numFmtId="1" fontId="0" fillId="0" borderId="18" xfId="133" applyNumberFormat="1" applyFont="1" applyFill="1" applyBorder="1" applyAlignment="1">
      <alignment vertical="center" wrapText="1"/>
      <protection/>
    </xf>
    <xf numFmtId="1" fontId="0" fillId="0" borderId="18" xfId="133" applyNumberFormat="1" applyFont="1" applyFill="1" applyBorder="1" applyAlignment="1">
      <alignment horizontal="center" vertical="center" wrapText="1"/>
      <protection/>
    </xf>
    <xf numFmtId="1" fontId="0" fillId="0" borderId="18" xfId="133" applyNumberFormat="1" applyFont="1" applyFill="1" applyBorder="1" applyAlignment="1">
      <alignment horizontal="right" vertical="center"/>
      <protection/>
    </xf>
    <xf numFmtId="1" fontId="0" fillId="0" borderId="0" xfId="133" applyNumberFormat="1" applyFont="1" applyFill="1" applyBorder="1" applyAlignment="1">
      <alignment horizontal="center" vertical="center"/>
      <protection/>
    </xf>
    <xf numFmtId="1" fontId="0" fillId="0" borderId="0" xfId="133" applyNumberFormat="1" applyFont="1" applyFill="1" applyBorder="1" applyAlignment="1">
      <alignment vertical="center" wrapText="1"/>
      <protection/>
    </xf>
    <xf numFmtId="1" fontId="0" fillId="0" borderId="0" xfId="133" applyNumberFormat="1" applyFont="1" applyFill="1" applyBorder="1" applyAlignment="1">
      <alignment horizontal="center" vertical="center" wrapText="1"/>
      <protection/>
    </xf>
    <xf numFmtId="1" fontId="0" fillId="0" borderId="0" xfId="133" applyNumberFormat="1" applyFont="1" applyFill="1" applyBorder="1" applyAlignment="1">
      <alignment horizontal="right" vertical="center"/>
      <protection/>
    </xf>
    <xf numFmtId="1" fontId="0" fillId="0" borderId="0" xfId="133" applyNumberFormat="1" applyFont="1" applyFill="1" applyAlignment="1">
      <alignment horizontal="center" vertical="center"/>
      <protection/>
    </xf>
    <xf numFmtId="1" fontId="5" fillId="0" borderId="0" xfId="133" applyNumberFormat="1" applyFont="1" applyFill="1" applyAlignment="1">
      <alignment vertical="center" wrapText="1"/>
      <protection/>
    </xf>
    <xf numFmtId="1" fontId="0" fillId="0" borderId="0" xfId="133" applyNumberFormat="1" applyFont="1" applyFill="1" applyAlignment="1">
      <alignment vertical="center" wrapText="1"/>
      <protection/>
    </xf>
    <xf numFmtId="1" fontId="0" fillId="0" borderId="0" xfId="133" applyNumberFormat="1" applyFont="1" applyFill="1" applyAlignment="1">
      <alignment horizontal="center" vertical="center" wrapText="1"/>
      <protection/>
    </xf>
    <xf numFmtId="1" fontId="0" fillId="0" borderId="0" xfId="133" applyNumberFormat="1" applyFont="1" applyFill="1" applyAlignment="1">
      <alignment horizontal="right" vertical="center"/>
      <protection/>
    </xf>
    <xf numFmtId="1" fontId="13" fillId="0" borderId="0" xfId="133" applyNumberFormat="1" applyFont="1" applyFill="1" applyAlignment="1">
      <alignment horizontal="right" vertical="center"/>
      <protection/>
    </xf>
    <xf numFmtId="1" fontId="14" fillId="0" borderId="0" xfId="133" applyNumberFormat="1" applyFont="1" applyFill="1" applyAlignment="1">
      <alignment vertical="center"/>
      <protection/>
    </xf>
    <xf numFmtId="1" fontId="12" fillId="0" borderId="18" xfId="133" applyNumberFormat="1" applyFont="1" applyFill="1" applyBorder="1" applyAlignment="1">
      <alignment horizontal="right" vertical="center"/>
      <protection/>
    </xf>
    <xf numFmtId="1" fontId="12" fillId="0" borderId="0" xfId="133" applyNumberFormat="1" applyFont="1" applyFill="1" applyBorder="1" applyAlignment="1">
      <alignment horizontal="right" vertical="center"/>
      <protection/>
    </xf>
    <xf numFmtId="1" fontId="15" fillId="0" borderId="0" xfId="133" applyNumberFormat="1" applyFont="1" applyFill="1" applyAlignment="1">
      <alignment vertical="center"/>
      <protection/>
    </xf>
    <xf numFmtId="1" fontId="16" fillId="0" borderId="0" xfId="133" applyNumberFormat="1" applyFont="1" applyFill="1" applyAlignment="1">
      <alignment vertical="center"/>
      <protection/>
    </xf>
    <xf numFmtId="3" fontId="6" fillId="0" borderId="0" xfId="133" applyNumberFormat="1" applyFont="1" applyBorder="1" applyAlignment="1">
      <alignment horizontal="center" vertical="center" wrapText="1"/>
      <protection/>
    </xf>
    <xf numFmtId="3" fontId="6" fillId="0" borderId="0" xfId="133" applyNumberFormat="1" applyFont="1" applyFill="1" applyBorder="1" applyAlignment="1">
      <alignment vertical="center" wrapText="1"/>
      <protection/>
    </xf>
    <xf numFmtId="1" fontId="2" fillId="0" borderId="0" xfId="133" applyNumberFormat="1" applyFont="1" applyFill="1" applyAlignment="1">
      <alignment vertical="center"/>
      <protection/>
    </xf>
    <xf numFmtId="1" fontId="7" fillId="0" borderId="0" xfId="133" applyNumberFormat="1" applyFont="1" applyFill="1" applyAlignment="1">
      <alignment vertical="center"/>
      <protection/>
    </xf>
    <xf numFmtId="1" fontId="17" fillId="0" borderId="0" xfId="133" applyNumberFormat="1" applyFont="1" applyFill="1" applyAlignment="1">
      <alignment vertical="center"/>
      <protection/>
    </xf>
    <xf numFmtId="1" fontId="6" fillId="0" borderId="0" xfId="133" applyNumberFormat="1" applyFont="1" applyFill="1" applyAlignment="1">
      <alignment horizontal="center" vertical="center"/>
      <protection/>
    </xf>
    <xf numFmtId="1" fontId="6" fillId="0" borderId="0" xfId="133" applyNumberFormat="1" applyFont="1" applyFill="1" applyAlignment="1">
      <alignment vertical="center" wrapText="1"/>
      <protection/>
    </xf>
    <xf numFmtId="1" fontId="6" fillId="0" borderId="0" xfId="133" applyNumberFormat="1" applyFont="1" applyFill="1" applyAlignment="1">
      <alignment horizontal="center" vertical="center" wrapText="1"/>
      <protection/>
    </xf>
    <xf numFmtId="1" fontId="6" fillId="0" borderId="0" xfId="133" applyNumberFormat="1" applyFont="1" applyFill="1" applyAlignment="1">
      <alignment horizontal="right" vertical="center"/>
      <protection/>
    </xf>
    <xf numFmtId="1" fontId="6" fillId="0" borderId="0" xfId="133" applyNumberFormat="1" applyFont="1" applyFill="1" applyAlignment="1">
      <alignment vertical="center"/>
      <protection/>
    </xf>
    <xf numFmtId="1" fontId="18" fillId="0" borderId="0" xfId="133" applyNumberFormat="1" applyFont="1" applyFill="1" applyAlignment="1">
      <alignment vertical="center"/>
      <protection/>
    </xf>
    <xf numFmtId="0" fontId="0" fillId="0" borderId="0" xfId="0" applyAlignment="1">
      <alignment/>
    </xf>
    <xf numFmtId="1" fontId="6" fillId="0" borderId="16" xfId="133" applyNumberFormat="1" applyFont="1" applyFill="1" applyBorder="1" applyAlignment="1">
      <alignment horizontal="center" vertical="center"/>
      <protection/>
    </xf>
    <xf numFmtId="1" fontId="2" fillId="0" borderId="16" xfId="133" applyNumberFormat="1" applyFont="1" applyFill="1" applyBorder="1" applyAlignment="1">
      <alignment horizontal="center" vertical="center" wrapText="1"/>
      <protection/>
    </xf>
    <xf numFmtId="1" fontId="6" fillId="0" borderId="16" xfId="133" applyNumberFormat="1" applyFont="1" applyFill="1" applyBorder="1" applyAlignment="1">
      <alignment horizontal="center" vertical="center" wrapText="1"/>
      <protection/>
    </xf>
    <xf numFmtId="1" fontId="6" fillId="0" borderId="16" xfId="133" applyNumberFormat="1" applyFont="1" applyFill="1" applyBorder="1" applyAlignment="1">
      <alignment horizontal="right" vertical="center"/>
      <protection/>
    </xf>
    <xf numFmtId="1" fontId="2" fillId="0" borderId="13" xfId="133" applyNumberFormat="1" applyFont="1" applyFill="1" applyBorder="1" applyAlignment="1">
      <alignment horizontal="center" vertical="center"/>
      <protection/>
    </xf>
    <xf numFmtId="1" fontId="2" fillId="0" borderId="17" xfId="133" applyNumberFormat="1" applyFont="1" applyFill="1" applyBorder="1" applyAlignment="1">
      <alignment vertical="center" wrapText="1"/>
      <protection/>
    </xf>
    <xf numFmtId="1" fontId="2" fillId="0" borderId="13" xfId="133" applyNumberFormat="1" applyFont="1" applyFill="1" applyBorder="1" applyAlignment="1">
      <alignment horizontal="center" vertical="center" wrapText="1"/>
      <protection/>
    </xf>
    <xf numFmtId="1" fontId="2" fillId="0" borderId="13" xfId="133" applyNumberFormat="1" applyFont="1" applyFill="1" applyBorder="1" applyAlignment="1">
      <alignment horizontal="right" vertical="center"/>
      <protection/>
    </xf>
    <xf numFmtId="1" fontId="6" fillId="0" borderId="13" xfId="133" applyNumberFormat="1" applyFont="1" applyFill="1" applyBorder="1" applyAlignment="1">
      <alignment horizontal="center" vertical="center"/>
      <protection/>
    </xf>
    <xf numFmtId="1" fontId="6" fillId="0" borderId="13" xfId="133" applyNumberFormat="1" applyFont="1" applyFill="1" applyBorder="1" applyAlignment="1">
      <alignment vertical="center" wrapText="1"/>
      <protection/>
    </xf>
    <xf numFmtId="1" fontId="6" fillId="0" borderId="13" xfId="133" applyNumberFormat="1" applyFont="1" applyFill="1" applyBorder="1" applyAlignment="1">
      <alignment horizontal="center" vertical="center" wrapText="1"/>
      <protection/>
    </xf>
    <xf numFmtId="1" fontId="6" fillId="0" borderId="13" xfId="133" applyNumberFormat="1" applyFont="1" applyFill="1" applyBorder="1" applyAlignment="1">
      <alignment horizontal="right" vertical="center"/>
      <protection/>
    </xf>
    <xf numFmtId="1" fontId="7" fillId="0" borderId="13" xfId="133" applyNumberFormat="1" applyFont="1" applyFill="1" applyBorder="1" applyAlignment="1">
      <alignment horizontal="center" vertical="center"/>
      <protection/>
    </xf>
    <xf numFmtId="1" fontId="7" fillId="0" borderId="17" xfId="133" applyNumberFormat="1" applyFont="1" applyFill="1" applyBorder="1" applyAlignment="1">
      <alignment vertical="center" wrapText="1"/>
      <protection/>
    </xf>
    <xf numFmtId="1" fontId="7" fillId="0" borderId="13" xfId="133" applyNumberFormat="1" applyFont="1" applyFill="1" applyBorder="1" applyAlignment="1">
      <alignment horizontal="center" vertical="center" wrapText="1"/>
      <protection/>
    </xf>
    <xf numFmtId="1" fontId="7" fillId="0" borderId="13" xfId="133" applyNumberFormat="1" applyFont="1" applyFill="1" applyBorder="1" applyAlignment="1">
      <alignment horizontal="right" vertical="center"/>
      <protection/>
    </xf>
    <xf numFmtId="1" fontId="6" fillId="0" borderId="18" xfId="133" applyNumberFormat="1" applyFont="1" applyFill="1" applyBorder="1" applyAlignment="1">
      <alignment horizontal="center" vertical="center"/>
      <protection/>
    </xf>
    <xf numFmtId="1" fontId="6" fillId="0" borderId="18" xfId="133" applyNumberFormat="1" applyFont="1" applyFill="1" applyBorder="1" applyAlignment="1">
      <alignment vertical="center" wrapText="1"/>
      <protection/>
    </xf>
    <xf numFmtId="1" fontId="6" fillId="0" borderId="18" xfId="133" applyNumberFormat="1" applyFont="1" applyFill="1" applyBorder="1" applyAlignment="1">
      <alignment horizontal="center" vertical="center" wrapText="1"/>
      <protection/>
    </xf>
    <xf numFmtId="1" fontId="6" fillId="0" borderId="18" xfId="133" applyNumberFormat="1" applyFont="1" applyFill="1" applyBorder="1" applyAlignment="1">
      <alignment horizontal="right" vertical="center"/>
      <protection/>
    </xf>
    <xf numFmtId="1" fontId="6" fillId="0" borderId="0" xfId="133" applyNumberFormat="1" applyFont="1" applyFill="1" applyBorder="1" applyAlignment="1">
      <alignment horizontal="center" vertical="center"/>
      <protection/>
    </xf>
    <xf numFmtId="1" fontId="6" fillId="0" borderId="0" xfId="133" applyNumberFormat="1" applyFont="1" applyFill="1" applyBorder="1" applyAlignment="1">
      <alignment vertical="center" wrapText="1"/>
      <protection/>
    </xf>
    <xf numFmtId="1" fontId="6" fillId="0" borderId="0" xfId="133" applyNumberFormat="1" applyFont="1" applyFill="1" applyBorder="1" applyAlignment="1">
      <alignment horizontal="center" vertical="center" wrapText="1"/>
      <protection/>
    </xf>
    <xf numFmtId="1" fontId="6" fillId="0" borderId="0" xfId="133" applyNumberFormat="1" applyFont="1" applyFill="1" applyBorder="1" applyAlignment="1">
      <alignment horizontal="right" vertical="center"/>
      <protection/>
    </xf>
    <xf numFmtId="1" fontId="17" fillId="0" borderId="0" xfId="133" applyNumberFormat="1" applyFont="1" applyFill="1" applyAlignment="1">
      <alignment horizontal="center" vertical="center"/>
      <protection/>
    </xf>
    <xf numFmtId="1" fontId="21" fillId="0" borderId="0" xfId="133" applyNumberFormat="1" applyFont="1" applyFill="1" applyAlignment="1">
      <alignment vertical="center" wrapText="1"/>
      <protection/>
    </xf>
    <xf numFmtId="3" fontId="6" fillId="0" borderId="15" xfId="133" applyNumberFormat="1" applyFont="1" applyBorder="1" applyAlignment="1">
      <alignment horizontal="center" vertical="center" wrapText="1"/>
      <protection/>
    </xf>
    <xf numFmtId="1" fontId="6" fillId="0" borderId="0" xfId="133" applyNumberFormat="1" applyFont="1" applyFill="1" applyAlignment="1">
      <alignment horizontal="left" vertical="center" wrapText="1"/>
      <protection/>
    </xf>
    <xf numFmtId="1" fontId="22" fillId="0" borderId="0" xfId="133" applyNumberFormat="1" applyFont="1" applyFill="1" applyAlignment="1">
      <alignment vertical="center"/>
      <protection/>
    </xf>
    <xf numFmtId="1" fontId="23" fillId="0" borderId="0" xfId="133" applyNumberFormat="1" applyFont="1" applyFill="1" applyAlignment="1">
      <alignment horizontal="center" vertical="center"/>
      <protection/>
    </xf>
    <xf numFmtId="1" fontId="23" fillId="0" borderId="0" xfId="133" applyNumberFormat="1" applyFont="1" applyFill="1" applyAlignment="1">
      <alignment vertical="center" wrapText="1"/>
      <protection/>
    </xf>
    <xf numFmtId="1" fontId="23" fillId="0" borderId="0" xfId="133" applyNumberFormat="1" applyFont="1" applyFill="1" applyAlignment="1">
      <alignment horizontal="center" vertical="center" wrapText="1"/>
      <protection/>
    </xf>
    <xf numFmtId="1" fontId="23" fillId="0" borderId="0" xfId="133" applyNumberFormat="1" applyFont="1" applyFill="1" applyAlignment="1">
      <alignment horizontal="right" vertical="center"/>
      <protection/>
    </xf>
    <xf numFmtId="1" fontId="23" fillId="0" borderId="0" xfId="133" applyNumberFormat="1" applyFont="1" applyFill="1" applyAlignment="1">
      <alignment vertical="center"/>
      <protection/>
    </xf>
    <xf numFmtId="0" fontId="0" fillId="0" borderId="0" xfId="0" applyAlignment="1">
      <alignment vertical="center"/>
    </xf>
    <xf numFmtId="0" fontId="5" fillId="0" borderId="15" xfId="0" applyFont="1" applyFill="1" applyBorder="1" applyAlignment="1">
      <alignment vertical="center"/>
    </xf>
    <xf numFmtId="1" fontId="2" fillId="0" borderId="0" xfId="133" applyNumberFormat="1" applyFont="1" applyFill="1" applyBorder="1" applyAlignment="1">
      <alignment vertical="center" wrapText="1"/>
      <protection/>
    </xf>
    <xf numFmtId="1" fontId="23" fillId="0" borderId="0" xfId="133" applyNumberFormat="1" applyFont="1" applyFill="1" applyBorder="1" applyAlignment="1">
      <alignment horizontal="right" vertical="center"/>
      <protection/>
    </xf>
    <xf numFmtId="0" fontId="0" fillId="0" borderId="0" xfId="0" applyAlignment="1">
      <alignment vertical="center" wrapText="1"/>
    </xf>
    <xf numFmtId="0" fontId="2" fillId="0" borderId="0" xfId="0" applyFont="1" applyAlignment="1">
      <alignment vertical="center"/>
    </xf>
    <xf numFmtId="0" fontId="5" fillId="0" borderId="0" xfId="0" applyFont="1" applyAlignment="1">
      <alignment vertical="center" wrapText="1"/>
    </xf>
    <xf numFmtId="0" fontId="28" fillId="0" borderId="15" xfId="0" applyFont="1" applyBorder="1" applyAlignment="1">
      <alignment horizontal="center" vertical="center" wrapText="1"/>
    </xf>
    <xf numFmtId="0" fontId="28" fillId="0" borderId="15" xfId="0" applyFont="1" applyBorder="1" applyAlignment="1">
      <alignment horizontal="left" vertical="center" wrapText="1"/>
    </xf>
    <xf numFmtId="0" fontId="29" fillId="0" borderId="15" xfId="0" applyFont="1" applyBorder="1" applyAlignment="1">
      <alignment horizontal="center" vertical="center"/>
    </xf>
    <xf numFmtId="0" fontId="29" fillId="0" borderId="15" xfId="0" applyFont="1" applyBorder="1" applyAlignment="1">
      <alignment vertical="center"/>
    </xf>
    <xf numFmtId="0" fontId="29" fillId="0" borderId="15" xfId="0" applyFont="1" applyBorder="1" applyAlignment="1">
      <alignment horizontal="center" vertical="center" wrapText="1"/>
    </xf>
    <xf numFmtId="49" fontId="30" fillId="0" borderId="15" xfId="0" applyNumberFormat="1" applyFont="1" applyBorder="1" applyAlignment="1">
      <alignment horizontal="center" vertical="center"/>
    </xf>
    <xf numFmtId="49" fontId="30" fillId="0" borderId="15" xfId="0" applyNumberFormat="1" applyFont="1" applyBorder="1" applyAlignment="1">
      <alignment vertical="center" wrapText="1"/>
    </xf>
    <xf numFmtId="0" fontId="30" fillId="0" borderId="15" xfId="0" applyFont="1" applyBorder="1" applyAlignment="1">
      <alignment horizontal="center" vertical="center" wrapText="1"/>
    </xf>
    <xf numFmtId="0" fontId="28" fillId="0" borderId="15" xfId="0" applyFont="1" applyBorder="1" applyAlignment="1">
      <alignment horizontal="center" vertical="center"/>
    </xf>
    <xf numFmtId="0" fontId="28" fillId="0" borderId="15" xfId="0" applyFont="1" applyBorder="1" applyAlignment="1">
      <alignment horizontal="left" vertical="center"/>
    </xf>
    <xf numFmtId="0" fontId="29" fillId="0" borderId="15" xfId="0" applyFont="1" applyBorder="1" applyAlignment="1">
      <alignment vertical="center" wrapText="1"/>
    </xf>
    <xf numFmtId="0" fontId="30" fillId="0" borderId="15" xfId="0" applyFont="1" applyBorder="1" applyAlignment="1">
      <alignment horizontal="center" vertical="center"/>
    </xf>
    <xf numFmtId="0" fontId="30" fillId="0" borderId="15" xfId="0" applyFont="1" applyBorder="1" applyAlignment="1">
      <alignment vertical="center" wrapText="1"/>
    </xf>
    <xf numFmtId="0" fontId="0" fillId="0" borderId="15" xfId="0" applyFont="1" applyFill="1" applyBorder="1" applyAlignment="1">
      <alignment horizontal="center" vertical="center"/>
    </xf>
    <xf numFmtId="0" fontId="0" fillId="0" borderId="15" xfId="0" applyFont="1" applyFill="1" applyBorder="1" applyAlignment="1">
      <alignment horizontal="left" vertical="center" wrapText="1"/>
    </xf>
    <xf numFmtId="0" fontId="4" fillId="0" borderId="15" xfId="0" applyFont="1" applyFill="1" applyBorder="1" applyAlignment="1">
      <alignment horizontal="center" vertical="center"/>
    </xf>
    <xf numFmtId="0" fontId="5" fillId="0" borderId="15" xfId="117" applyFont="1" applyFill="1" applyBorder="1" applyAlignment="1">
      <alignment horizontal="center" vertical="center" wrapText="1"/>
      <protection/>
    </xf>
    <xf numFmtId="0" fontId="5" fillId="0" borderId="15" xfId="117" applyFont="1" applyFill="1" applyBorder="1" applyAlignment="1">
      <alignment horizontal="left" vertical="center" wrapText="1"/>
      <protection/>
    </xf>
    <xf numFmtId="0" fontId="0" fillId="0" borderId="15" xfId="117" applyFont="1" applyFill="1" applyBorder="1" applyAlignment="1">
      <alignment horizontal="center" vertical="center" wrapText="1"/>
      <protection/>
    </xf>
    <xf numFmtId="0" fontId="0" fillId="0" borderId="15" xfId="117" applyFont="1" applyFill="1" applyBorder="1" applyAlignment="1">
      <alignment vertical="center" wrapText="1"/>
      <protection/>
    </xf>
    <xf numFmtId="0" fontId="4" fillId="0" borderId="15" xfId="117" applyFont="1" applyFill="1" applyBorder="1" applyAlignment="1">
      <alignment vertical="center" wrapText="1"/>
      <protection/>
    </xf>
    <xf numFmtId="0" fontId="0" fillId="0" borderId="19" xfId="117" applyFont="1" applyFill="1" applyBorder="1" applyAlignment="1">
      <alignment horizontal="center" vertical="center" wrapText="1"/>
      <protection/>
    </xf>
    <xf numFmtId="0" fontId="0" fillId="0" borderId="19" xfId="117" applyFont="1" applyFill="1" applyBorder="1" applyAlignment="1">
      <alignment vertical="center" wrapText="1"/>
      <protection/>
    </xf>
    <xf numFmtId="0" fontId="0" fillId="33" borderId="15" xfId="0" applyFont="1" applyFill="1" applyBorder="1" applyAlignment="1">
      <alignment vertical="center" wrapText="1"/>
    </xf>
    <xf numFmtId="0" fontId="0" fillId="33" borderId="19" xfId="0" applyFont="1" applyFill="1" applyBorder="1" applyAlignment="1">
      <alignment vertical="center" wrapText="1"/>
    </xf>
    <xf numFmtId="0" fontId="0" fillId="33" borderId="0" xfId="0" applyFont="1" applyFill="1" applyBorder="1" applyAlignment="1">
      <alignment vertical="center" wrapText="1"/>
    </xf>
    <xf numFmtId="0" fontId="5" fillId="0" borderId="0" xfId="0" applyFont="1" applyFill="1" applyAlignment="1">
      <alignment vertical="center"/>
    </xf>
    <xf numFmtId="0" fontId="0" fillId="0" borderId="0" xfId="0" applyFill="1" applyAlignment="1">
      <alignment vertical="center"/>
    </xf>
    <xf numFmtId="0" fontId="0" fillId="0" borderId="15" xfId="0" applyFont="1" applyBorder="1" applyAlignment="1">
      <alignment vertical="center"/>
    </xf>
    <xf numFmtId="0" fontId="0" fillId="0" borderId="15" xfId="0" applyFont="1" applyFill="1" applyBorder="1" applyAlignment="1">
      <alignment vertical="center" wrapText="1"/>
    </xf>
    <xf numFmtId="0" fontId="4" fillId="0" borderId="15" xfId="0" applyFont="1" applyFill="1" applyBorder="1" applyAlignment="1">
      <alignment vertical="center" wrapText="1"/>
    </xf>
    <xf numFmtId="0" fontId="0" fillId="0" borderId="15" xfId="0" applyFont="1" applyFill="1" applyBorder="1" applyAlignment="1">
      <alignment horizontal="center" vertical="center"/>
    </xf>
    <xf numFmtId="0" fontId="4" fillId="0" borderId="15" xfId="0" applyFont="1" applyFill="1" applyBorder="1" applyAlignment="1">
      <alignment vertical="center"/>
    </xf>
    <xf numFmtId="0" fontId="0" fillId="0" borderId="15" xfId="117" applyFont="1" applyFill="1" applyBorder="1" applyAlignment="1" quotePrefix="1">
      <alignment horizontal="center" vertical="center" wrapText="1"/>
      <protection/>
    </xf>
    <xf numFmtId="0" fontId="0" fillId="0" borderId="15" xfId="117" applyFont="1" applyFill="1" applyBorder="1" applyAlignment="1" quotePrefix="1">
      <alignment vertical="center" wrapText="1"/>
      <protection/>
    </xf>
    <xf numFmtId="1" fontId="6" fillId="0" borderId="13" xfId="133" applyNumberFormat="1" applyFont="1" applyFill="1" applyBorder="1" applyAlignment="1" quotePrefix="1">
      <alignment vertical="center" wrapText="1"/>
      <protection/>
    </xf>
    <xf numFmtId="1" fontId="0" fillId="0" borderId="13" xfId="133" applyNumberFormat="1" applyFont="1" applyFill="1" applyBorder="1" applyAlignment="1" quotePrefix="1">
      <alignment vertical="center" wrapText="1"/>
      <protection/>
    </xf>
    <xf numFmtId="0" fontId="8" fillId="0" borderId="15" xfId="0" applyFont="1" applyBorder="1" applyAlignment="1" quotePrefix="1">
      <alignment vertical="center"/>
    </xf>
    <xf numFmtId="0" fontId="4" fillId="0" borderId="15" xfId="0" applyFont="1" applyBorder="1" applyAlignment="1" quotePrefix="1">
      <alignment vertical="center"/>
    </xf>
    <xf numFmtId="0" fontId="0" fillId="0" borderId="15" xfId="0" applyFont="1" applyBorder="1" applyAlignment="1" quotePrefix="1">
      <alignment vertical="center"/>
    </xf>
    <xf numFmtId="0" fontId="4" fillId="0" borderId="15" xfId="117" applyNumberFormat="1" applyFont="1" applyFill="1" applyBorder="1" applyAlignment="1">
      <alignment horizontal="left" vertical="center" wrapText="1" indent="1"/>
      <protection/>
    </xf>
    <xf numFmtId="0" fontId="4" fillId="0" borderId="15" xfId="117" applyFont="1" applyFill="1" applyBorder="1" applyAlignment="1">
      <alignment horizontal="center" vertical="center" wrapText="1"/>
      <protection/>
    </xf>
    <xf numFmtId="0" fontId="0" fillId="0" borderId="15" xfId="117" applyFont="1" applyFill="1" applyBorder="1" applyAlignment="1">
      <alignment horizontal="left" vertical="center" wrapText="1"/>
      <protection/>
    </xf>
    <xf numFmtId="0" fontId="0" fillId="0" borderId="0" xfId="0" applyFont="1" applyFill="1" applyAlignment="1">
      <alignment vertical="center"/>
    </xf>
    <xf numFmtId="0" fontId="4" fillId="0" borderId="0" xfId="0" applyFont="1" applyFill="1" applyAlignment="1">
      <alignment vertical="center"/>
    </xf>
    <xf numFmtId="0" fontId="0" fillId="0" borderId="15" xfId="0" applyFont="1" applyFill="1" applyBorder="1" applyAlignment="1" quotePrefix="1">
      <alignment horizontal="center" vertical="center"/>
    </xf>
    <xf numFmtId="0" fontId="5" fillId="0" borderId="15" xfId="0" applyFont="1" applyFill="1" applyBorder="1" applyAlignment="1">
      <alignment horizontal="center" vertical="center"/>
    </xf>
    <xf numFmtId="0" fontId="0" fillId="0" borderId="19" xfId="0" applyFont="1" applyBorder="1" applyAlignment="1">
      <alignment vertical="center"/>
    </xf>
    <xf numFmtId="0" fontId="0" fillId="0" borderId="0" xfId="117" applyFont="1" applyFill="1" applyBorder="1" applyAlignment="1">
      <alignment horizontal="center" vertical="center" wrapText="1"/>
      <protection/>
    </xf>
    <xf numFmtId="0" fontId="0" fillId="0" borderId="0" xfId="117" applyFont="1" applyFill="1" applyBorder="1" applyAlignment="1">
      <alignment vertical="center" wrapText="1"/>
      <protection/>
    </xf>
    <xf numFmtId="184" fontId="0" fillId="0" borderId="0" xfId="0" applyNumberFormat="1" applyFont="1" applyBorder="1" applyAlignment="1">
      <alignment vertical="center"/>
    </xf>
    <xf numFmtId="0" fontId="4" fillId="0" borderId="0" xfId="0" applyFont="1" applyBorder="1" applyAlignment="1">
      <alignment vertical="center"/>
    </xf>
    <xf numFmtId="0" fontId="0" fillId="0" borderId="0" xfId="0" applyFont="1" applyBorder="1" applyAlignment="1">
      <alignment vertical="center"/>
    </xf>
    <xf numFmtId="0" fontId="7" fillId="0" borderId="0" xfId="141" applyFont="1" applyFill="1" applyAlignment="1">
      <alignment horizontal="right" vertical="center"/>
      <protection/>
    </xf>
    <xf numFmtId="0" fontId="24" fillId="0" borderId="0" xfId="0" applyNumberFormat="1" applyFont="1" applyFill="1" applyAlignment="1">
      <alignment vertical="center"/>
    </xf>
    <xf numFmtId="0" fontId="25" fillId="0" borderId="0" xfId="0" applyFont="1" applyFill="1" applyAlignment="1">
      <alignment vertical="center"/>
    </xf>
    <xf numFmtId="0" fontId="25" fillId="0" borderId="0" xfId="0" applyFont="1" applyFill="1" applyAlignment="1">
      <alignment horizontal="center" vertical="center"/>
    </xf>
    <xf numFmtId="0" fontId="26" fillId="0" borderId="0" xfId="0" applyNumberFormat="1" applyFont="1" applyFill="1" applyAlignment="1">
      <alignment vertical="center"/>
    </xf>
    <xf numFmtId="0" fontId="0" fillId="0" borderId="15" xfId="0" applyFont="1" applyFill="1" applyBorder="1" applyAlignment="1">
      <alignment horizontal="center" vertical="center" wrapText="1"/>
    </xf>
    <xf numFmtId="0" fontId="0" fillId="0" borderId="15" xfId="0" applyFont="1" applyFill="1" applyBorder="1" applyAlignment="1">
      <alignment vertical="center"/>
    </xf>
    <xf numFmtId="0" fontId="0" fillId="0" borderId="15" xfId="0" applyFont="1" applyFill="1" applyBorder="1" applyAlignment="1">
      <alignment vertical="center"/>
    </xf>
    <xf numFmtId="1" fontId="33" fillId="0" borderId="0" xfId="133" applyNumberFormat="1" applyFont="1" applyFill="1" applyAlignment="1">
      <alignment vertical="center"/>
      <protection/>
    </xf>
    <xf numFmtId="1" fontId="33" fillId="0" borderId="0" xfId="133" applyNumberFormat="1" applyFont="1" applyFill="1" applyAlignment="1">
      <alignment horizontal="right" vertical="center"/>
      <protection/>
    </xf>
    <xf numFmtId="0" fontId="0" fillId="0" borderId="19" xfId="0" applyFont="1" applyFill="1" applyBorder="1" applyAlignment="1">
      <alignment horizontal="center" vertical="center"/>
    </xf>
    <xf numFmtId="0" fontId="0" fillId="0" borderId="19" xfId="0" applyFont="1" applyFill="1" applyBorder="1" applyAlignment="1">
      <alignment vertical="center"/>
    </xf>
    <xf numFmtId="0" fontId="0" fillId="0" borderId="0" xfId="0" applyFont="1" applyFill="1" applyAlignment="1">
      <alignment vertical="center"/>
    </xf>
    <xf numFmtId="0" fontId="0" fillId="0" borderId="0" xfId="0" applyFont="1" applyFill="1" applyAlignment="1">
      <alignment horizontal="center" vertical="center"/>
    </xf>
    <xf numFmtId="0" fontId="27" fillId="0" borderId="0" xfId="0" applyFont="1" applyFill="1" applyAlignment="1">
      <alignment vertical="center"/>
    </xf>
    <xf numFmtId="0" fontId="0" fillId="0" borderId="0" xfId="0" applyFont="1" applyFill="1" applyAlignment="1">
      <alignment horizontal="left" vertical="center"/>
    </xf>
    <xf numFmtId="0" fontId="0" fillId="0" borderId="15" xfId="0" applyFont="1" applyBorder="1" applyAlignment="1">
      <alignment vertical="center" wrapText="1"/>
    </xf>
    <xf numFmtId="43" fontId="0" fillId="0" borderId="0" xfId="0" applyNumberFormat="1" applyFont="1" applyFill="1" applyAlignment="1">
      <alignment vertical="center"/>
    </xf>
    <xf numFmtId="0" fontId="4" fillId="0" borderId="15" xfId="0" applyFont="1" applyFill="1" applyBorder="1" applyAlignment="1" quotePrefix="1">
      <alignment vertical="center" wrapText="1"/>
    </xf>
    <xf numFmtId="43" fontId="4" fillId="0" borderId="0" xfId="0" applyNumberFormat="1" applyFont="1" applyFill="1" applyAlignment="1">
      <alignment vertical="center"/>
    </xf>
    <xf numFmtId="0" fontId="5" fillId="0" borderId="20" xfId="0" applyFont="1" applyFill="1" applyBorder="1" applyAlignment="1">
      <alignment horizontal="center" vertical="center" wrapText="1"/>
    </xf>
    <xf numFmtId="0" fontId="0" fillId="0" borderId="15" xfId="0" applyFont="1" applyBorder="1" applyAlignment="1">
      <alignment horizontal="center" vertical="center" wrapText="1"/>
    </xf>
    <xf numFmtId="0" fontId="6" fillId="0" borderId="0" xfId="124" applyFont="1" applyFill="1" applyAlignment="1">
      <alignment vertical="center"/>
      <protection/>
    </xf>
    <xf numFmtId="0" fontId="2" fillId="0" borderId="0" xfId="124" applyFont="1" applyFill="1" applyAlignment="1">
      <alignment vertical="center"/>
      <protection/>
    </xf>
    <xf numFmtId="0" fontId="0" fillId="0" borderId="0" xfId="124" applyFont="1" applyFill="1" applyAlignment="1">
      <alignment vertical="center"/>
      <protection/>
    </xf>
    <xf numFmtId="0" fontId="0" fillId="0" borderId="0" xfId="124" applyFont="1" applyFill="1" applyAlignment="1">
      <alignment vertical="center" wrapText="1"/>
      <protection/>
    </xf>
    <xf numFmtId="0" fontId="0" fillId="0" borderId="0" xfId="124" applyFont="1" applyFill="1" applyAlignment="1">
      <alignment horizontal="center" vertical="center" wrapText="1"/>
      <protection/>
    </xf>
    <xf numFmtId="0" fontId="5" fillId="0" borderId="0" xfId="124" applyFont="1" applyFill="1" applyAlignment="1">
      <alignment vertical="center"/>
      <protection/>
    </xf>
    <xf numFmtId="0" fontId="4" fillId="0" borderId="0" xfId="124" applyFont="1" applyFill="1" applyAlignment="1">
      <alignment vertical="center"/>
      <protection/>
    </xf>
    <xf numFmtId="4" fontId="5" fillId="0" borderId="15" xfId="124" applyNumberFormat="1" applyFont="1" applyFill="1" applyBorder="1" applyAlignment="1">
      <alignment horizontal="center" vertical="center"/>
      <protection/>
    </xf>
    <xf numFmtId="1" fontId="3" fillId="0" borderId="0" xfId="133" applyNumberFormat="1" applyFont="1" applyFill="1" applyAlignment="1">
      <alignment horizontal="center" vertical="center"/>
      <protection/>
    </xf>
    <xf numFmtId="184" fontId="0" fillId="0" borderId="0" xfId="68" applyNumberFormat="1" applyFont="1" applyBorder="1" applyAlignment="1">
      <alignment vertical="center"/>
    </xf>
    <xf numFmtId="184" fontId="0" fillId="0" borderId="0" xfId="68" applyNumberFormat="1" applyFont="1" applyAlignment="1">
      <alignment vertical="center"/>
    </xf>
    <xf numFmtId="0" fontId="0" fillId="0" borderId="0" xfId="114" applyFont="1" applyFill="1" applyAlignment="1">
      <alignment vertical="center"/>
      <protection/>
    </xf>
    <xf numFmtId="0" fontId="0" fillId="0" borderId="0" xfId="114" applyFont="1" applyFill="1" applyBorder="1" applyAlignment="1">
      <alignment vertical="center"/>
      <protection/>
    </xf>
    <xf numFmtId="0" fontId="5" fillId="0" borderId="0" xfId="114" applyFont="1" applyFill="1" applyAlignment="1">
      <alignment vertical="center" wrapText="1"/>
      <protection/>
    </xf>
    <xf numFmtId="0" fontId="0" fillId="0" borderId="0" xfId="114" applyFont="1" applyFill="1" applyAlignment="1">
      <alignment vertical="center" wrapText="1"/>
      <protection/>
    </xf>
    <xf numFmtId="0" fontId="0" fillId="0" borderId="0" xfId="114" applyFont="1" applyFill="1" applyAlignment="1">
      <alignment horizontal="center" vertical="center"/>
      <protection/>
    </xf>
    <xf numFmtId="0" fontId="2" fillId="0" borderId="0" xfId="0" applyFont="1" applyFill="1" applyAlignment="1">
      <alignment vertical="center"/>
    </xf>
    <xf numFmtId="0" fontId="5" fillId="0" borderId="0" xfId="0" applyFont="1" applyFill="1" applyAlignment="1">
      <alignment horizontal="center" vertical="center"/>
    </xf>
    <xf numFmtId="43" fontId="5" fillId="0" borderId="0" xfId="50" applyNumberFormat="1" applyFont="1" applyFill="1" applyAlignment="1">
      <alignment horizontal="center" vertical="center"/>
    </xf>
    <xf numFmtId="0" fontId="7" fillId="0" borderId="0" xfId="141" applyFont="1" applyFill="1" applyAlignment="1">
      <alignment horizontal="center" vertical="center"/>
      <protection/>
    </xf>
    <xf numFmtId="0" fontId="5" fillId="0" borderId="0" xfId="0" applyFont="1" applyFill="1" applyAlignment="1">
      <alignment vertical="center" wrapText="1"/>
    </xf>
    <xf numFmtId="43" fontId="5" fillId="0" borderId="15" xfId="50" applyNumberFormat="1" applyFont="1" applyFill="1" applyBorder="1" applyAlignment="1">
      <alignment horizontal="center" vertical="center" wrapText="1"/>
    </xf>
    <xf numFmtId="0" fontId="0" fillId="0" borderId="15" xfId="0" applyFont="1" applyFill="1" applyBorder="1" applyAlignment="1">
      <alignment horizontal="center" vertical="center" wrapText="1"/>
    </xf>
    <xf numFmtId="43" fontId="0" fillId="0" borderId="15" xfId="50" applyNumberFormat="1" applyFont="1" applyFill="1" applyBorder="1" applyAlignment="1">
      <alignment horizontal="center" vertical="center" wrapText="1"/>
    </xf>
    <xf numFmtId="0" fontId="0" fillId="0" borderId="0" xfId="0" applyFont="1" applyFill="1" applyAlignment="1">
      <alignment horizontal="center" vertical="center" wrapText="1"/>
    </xf>
    <xf numFmtId="0" fontId="5" fillId="0" borderId="15" xfId="0" applyFont="1" applyFill="1" applyBorder="1" applyAlignment="1">
      <alignment horizontal="left" vertical="center" wrapText="1"/>
    </xf>
    <xf numFmtId="2" fontId="5" fillId="0" borderId="0" xfId="0" applyNumberFormat="1" applyFont="1" applyFill="1" applyAlignment="1">
      <alignment vertical="center"/>
    </xf>
    <xf numFmtId="43" fontId="5" fillId="0" borderId="0" xfId="0" applyNumberFormat="1" applyFont="1" applyFill="1" applyAlignment="1">
      <alignment vertical="center"/>
    </xf>
    <xf numFmtId="2" fontId="0" fillId="0" borderId="0" xfId="0" applyNumberFormat="1" applyFont="1" applyFill="1" applyAlignment="1">
      <alignment vertical="center"/>
    </xf>
    <xf numFmtId="0" fontId="5" fillId="0" borderId="15" xfId="0" applyFont="1" applyFill="1" applyBorder="1" applyAlignment="1">
      <alignment vertical="center" wrapText="1"/>
    </xf>
    <xf numFmtId="0" fontId="0" fillId="0" borderId="15" xfId="112" applyFont="1" applyFill="1" applyBorder="1" applyAlignment="1" quotePrefix="1">
      <alignment vertical="center" wrapText="1"/>
      <protection/>
    </xf>
    <xf numFmtId="0" fontId="0" fillId="0" borderId="15" xfId="0" applyFont="1" applyFill="1" applyBorder="1" applyAlignment="1" quotePrefix="1">
      <alignment horizontal="left" vertical="center" wrapText="1"/>
    </xf>
    <xf numFmtId="43" fontId="4" fillId="0" borderId="15" xfId="50" applyNumberFormat="1" applyFont="1" applyFill="1" applyBorder="1" applyAlignment="1">
      <alignment horizontal="center" vertical="center"/>
    </xf>
    <xf numFmtId="0" fontId="0" fillId="0" borderId="0" xfId="0" applyFont="1" applyFill="1" applyAlignment="1">
      <alignment horizontal="center" vertical="center"/>
    </xf>
    <xf numFmtId="43" fontId="0" fillId="0" borderId="0" xfId="50" applyNumberFormat="1" applyFont="1" applyFill="1" applyAlignment="1">
      <alignment horizontal="center" vertical="center"/>
    </xf>
    <xf numFmtId="0" fontId="0" fillId="0" borderId="15" xfId="0" applyFont="1" applyBorder="1" applyAlignment="1">
      <alignment horizontal="center" vertical="center" wrapText="1"/>
    </xf>
    <xf numFmtId="0" fontId="0" fillId="0" borderId="15" xfId="117" applyFont="1" applyFill="1" applyBorder="1" applyAlignment="1">
      <alignment horizontal="center" vertical="center" wrapText="1"/>
      <protection/>
    </xf>
    <xf numFmtId="0" fontId="0" fillId="0" borderId="0" xfId="124" applyFont="1" applyFill="1" applyAlignment="1">
      <alignment horizontal="center" vertical="center"/>
      <protection/>
    </xf>
    <xf numFmtId="0" fontId="7" fillId="0" borderId="0" xfId="124" applyFont="1" applyFill="1" applyAlignment="1">
      <alignment horizontal="right" vertical="center"/>
      <protection/>
    </xf>
    <xf numFmtId="0" fontId="2" fillId="0" borderId="0" xfId="124" applyFont="1" applyFill="1" applyAlignment="1">
      <alignment horizontal="center" vertical="center"/>
      <protection/>
    </xf>
    <xf numFmtId="0" fontId="5" fillId="0" borderId="15" xfId="124" applyFont="1" applyFill="1" applyBorder="1" applyAlignment="1">
      <alignment horizontal="center" vertical="center"/>
      <protection/>
    </xf>
    <xf numFmtId="0" fontId="5" fillId="0" borderId="15" xfId="124" applyFont="1" applyFill="1" applyBorder="1" applyAlignment="1">
      <alignment vertical="center" wrapText="1"/>
      <protection/>
    </xf>
    <xf numFmtId="0" fontId="5" fillId="0" borderId="15" xfId="124" applyFont="1" applyFill="1" applyBorder="1" applyAlignment="1">
      <alignment vertical="center"/>
      <protection/>
    </xf>
    <xf numFmtId="0" fontId="0" fillId="0" borderId="15" xfId="124" applyFont="1" applyFill="1" applyBorder="1" applyAlignment="1">
      <alignment horizontal="center" vertical="center"/>
      <protection/>
    </xf>
    <xf numFmtId="4" fontId="5" fillId="0" borderId="15" xfId="124" applyNumberFormat="1" applyFont="1" applyFill="1" applyBorder="1" applyAlignment="1">
      <alignment vertical="center"/>
      <protection/>
    </xf>
    <xf numFmtId="0" fontId="0" fillId="0" borderId="15" xfId="124" applyFont="1" applyFill="1" applyBorder="1" applyAlignment="1">
      <alignment vertical="center" wrapText="1"/>
      <protection/>
    </xf>
    <xf numFmtId="4" fontId="0" fillId="0" borderId="15" xfId="124" applyNumberFormat="1" applyFont="1" applyFill="1" applyBorder="1" applyAlignment="1">
      <alignment vertical="center"/>
      <protection/>
    </xf>
    <xf numFmtId="0" fontId="0" fillId="0" borderId="15" xfId="124" applyFont="1" applyFill="1" applyBorder="1" applyAlignment="1" quotePrefix="1">
      <alignment horizontal="center" vertical="center"/>
      <protection/>
    </xf>
    <xf numFmtId="4" fontId="0" fillId="0" borderId="15" xfId="124" applyNumberFormat="1" applyFont="1" applyFill="1" applyBorder="1" applyAlignment="1">
      <alignment horizontal="center" vertical="center"/>
      <protection/>
    </xf>
    <xf numFmtId="0" fontId="0" fillId="0" borderId="15" xfId="124" applyFont="1" applyFill="1" applyBorder="1" applyAlignment="1" quotePrefix="1">
      <alignment vertical="center" wrapText="1"/>
      <protection/>
    </xf>
    <xf numFmtId="0" fontId="4" fillId="0" borderId="15" xfId="124" applyFont="1" applyFill="1" applyBorder="1" applyAlignment="1">
      <alignment vertical="center" wrapText="1"/>
      <protection/>
    </xf>
    <xf numFmtId="0" fontId="4" fillId="0" borderId="15" xfId="124" applyFont="1" applyFill="1" applyBorder="1" applyAlignment="1">
      <alignment horizontal="center" vertical="center"/>
      <protection/>
    </xf>
    <xf numFmtId="187" fontId="5" fillId="0" borderId="15" xfId="124" applyNumberFormat="1" applyFont="1" applyFill="1" applyBorder="1" applyAlignment="1">
      <alignment horizontal="center" vertical="center"/>
      <protection/>
    </xf>
    <xf numFmtId="0" fontId="0" fillId="0" borderId="15" xfId="124" applyNumberFormat="1" applyFont="1" applyFill="1" applyBorder="1" applyAlignment="1">
      <alignment vertical="center" wrapText="1"/>
      <protection/>
    </xf>
    <xf numFmtId="4" fontId="0" fillId="0" borderId="15" xfId="0" applyNumberFormat="1" applyFont="1" applyFill="1" applyBorder="1" applyAlignment="1">
      <alignment vertical="center"/>
    </xf>
    <xf numFmtId="0" fontId="4" fillId="0" borderId="15" xfId="0" applyFont="1" applyFill="1" applyBorder="1" applyAlignment="1" quotePrefix="1">
      <alignment horizontal="center" vertical="center"/>
    </xf>
    <xf numFmtId="0" fontId="54" fillId="0" borderId="15" xfId="140" applyFont="1" applyFill="1" applyBorder="1" applyAlignment="1">
      <alignment horizontal="center" vertical="center"/>
      <protection/>
    </xf>
    <xf numFmtId="0" fontId="0" fillId="0" borderId="15" xfId="140" applyFont="1" applyFill="1" applyBorder="1" applyAlignment="1">
      <alignment horizontal="justify" vertical="center"/>
      <protection/>
    </xf>
    <xf numFmtId="0" fontId="54" fillId="0" borderId="15" xfId="0" applyFont="1" applyFill="1" applyBorder="1" applyAlignment="1">
      <alignment horizontal="center" vertical="center" wrapText="1"/>
    </xf>
    <xf numFmtId="0" fontId="59" fillId="0" borderId="15" xfId="0" applyFont="1" applyFill="1" applyBorder="1" applyAlignment="1">
      <alignment horizontal="center" vertical="center"/>
    </xf>
    <xf numFmtId="49" fontId="0" fillId="0" borderId="15" xfId="0" applyNumberFormat="1" applyFont="1" applyFill="1" applyBorder="1" applyAlignment="1">
      <alignment vertical="center" wrapText="1"/>
    </xf>
    <xf numFmtId="0" fontId="54" fillId="0" borderId="15" xfId="0" applyFont="1" applyFill="1" applyBorder="1" applyAlignment="1">
      <alignment horizontal="center" vertical="center"/>
    </xf>
    <xf numFmtId="172" fontId="5" fillId="0" borderId="15" xfId="82" applyNumberFormat="1" applyFont="1" applyFill="1" applyBorder="1" applyAlignment="1">
      <alignment vertical="center" wrapText="1"/>
    </xf>
    <xf numFmtId="172" fontId="5" fillId="0" borderId="15" xfId="82" applyNumberFormat="1" applyFont="1" applyFill="1" applyBorder="1" applyAlignment="1">
      <alignment vertical="center"/>
    </xf>
    <xf numFmtId="172" fontId="0" fillId="0" borderId="15" xfId="82" applyNumberFormat="1" applyFont="1" applyFill="1" applyBorder="1" applyAlignment="1">
      <alignment vertical="center"/>
    </xf>
    <xf numFmtId="172" fontId="0" fillId="0" borderId="15" xfId="82" applyNumberFormat="1" applyFont="1" applyFill="1" applyBorder="1" applyAlignment="1">
      <alignment vertical="center" wrapText="1"/>
    </xf>
    <xf numFmtId="172" fontId="0" fillId="0" borderId="15" xfId="82" applyNumberFormat="1" applyFont="1" applyFill="1" applyBorder="1" applyAlignment="1">
      <alignment horizontal="center" vertical="center" wrapText="1"/>
    </xf>
    <xf numFmtId="3" fontId="0" fillId="0" borderId="15" xfId="0" applyNumberFormat="1" applyFont="1" applyFill="1" applyBorder="1" applyAlignment="1">
      <alignment horizontal="right" vertical="center"/>
    </xf>
    <xf numFmtId="4" fontId="0" fillId="0" borderId="15" xfId="0" applyNumberFormat="1" applyFont="1" applyFill="1" applyBorder="1" applyAlignment="1">
      <alignment horizontal="right" vertical="center"/>
    </xf>
    <xf numFmtId="4" fontId="52" fillId="0" borderId="15" xfId="50" applyNumberFormat="1" applyFont="1" applyFill="1" applyBorder="1" applyAlignment="1">
      <alignment horizontal="right" vertical="center" wrapText="1"/>
    </xf>
    <xf numFmtId="4" fontId="0" fillId="0" borderId="15" xfId="50" applyNumberFormat="1" applyFont="1" applyFill="1" applyBorder="1" applyAlignment="1">
      <alignment horizontal="right" vertical="center"/>
    </xf>
    <xf numFmtId="0" fontId="0" fillId="0" borderId="15" xfId="0" applyFont="1" applyBorder="1" applyAlignment="1">
      <alignment horizontal="right" vertical="center"/>
    </xf>
    <xf numFmtId="0" fontId="29" fillId="0" borderId="15" xfId="122" applyFont="1" applyBorder="1" applyAlignment="1">
      <alignment horizontal="right" vertical="center" wrapText="1"/>
      <protection/>
    </xf>
    <xf numFmtId="184" fontId="29" fillId="0" borderId="15" xfId="68" applyNumberFormat="1" applyFont="1" applyBorder="1" applyAlignment="1">
      <alignment horizontal="right" vertical="center" wrapText="1"/>
    </xf>
    <xf numFmtId="0" fontId="0" fillId="0" borderId="15" xfId="122" applyFont="1" applyBorder="1" applyAlignment="1">
      <alignment horizontal="right" vertical="center" wrapText="1"/>
      <protection/>
    </xf>
    <xf numFmtId="164" fontId="29" fillId="0" borderId="15" xfId="53" applyNumberFormat="1" applyFont="1" applyBorder="1" applyAlignment="1">
      <alignment horizontal="right" vertical="center" wrapText="1"/>
    </xf>
    <xf numFmtId="175" fontId="29" fillId="0" borderId="15" xfId="53" applyNumberFormat="1" applyFont="1" applyBorder="1" applyAlignment="1">
      <alignment horizontal="right" vertical="center" wrapText="1"/>
    </xf>
    <xf numFmtId="188" fontId="29" fillId="0" borderId="15" xfId="68" applyNumberFormat="1" applyFont="1" applyBorder="1" applyAlignment="1">
      <alignment horizontal="right" vertical="center" wrapText="1"/>
    </xf>
    <xf numFmtId="175" fontId="0" fillId="0" borderId="15" xfId="53" applyNumberFormat="1" applyFont="1" applyBorder="1" applyAlignment="1">
      <alignment horizontal="right" vertical="center" wrapText="1"/>
    </xf>
    <xf numFmtId="175" fontId="29" fillId="0" borderId="15" xfId="53" applyNumberFormat="1" applyFont="1" applyBorder="1" applyAlignment="1" applyProtection="1">
      <alignment horizontal="right" vertical="center" wrapText="1"/>
      <protection locked="0"/>
    </xf>
    <xf numFmtId="43" fontId="29" fillId="0" borderId="15" xfId="68" applyFont="1" applyBorder="1" applyAlignment="1">
      <alignment horizontal="right" vertical="center" wrapText="1"/>
    </xf>
    <xf numFmtId="0" fontId="54" fillId="0" borderId="15" xfId="122" applyFont="1" applyBorder="1" applyAlignment="1">
      <alignment horizontal="right" vertical="center" wrapText="1"/>
      <protection/>
    </xf>
    <xf numFmtId="43" fontId="57" fillId="0" borderId="15" xfId="68" applyFont="1" applyBorder="1" applyAlignment="1">
      <alignment horizontal="right" vertical="center" wrapText="1"/>
    </xf>
    <xf numFmtId="0" fontId="30" fillId="0" borderId="15" xfId="122" applyFont="1" applyBorder="1" applyAlignment="1">
      <alignment horizontal="right" vertical="center" wrapText="1"/>
      <protection/>
    </xf>
    <xf numFmtId="0" fontId="4" fillId="0" borderId="15" xfId="122" applyFont="1" applyBorder="1" applyAlignment="1">
      <alignment horizontal="right" vertical="center" wrapText="1"/>
      <protection/>
    </xf>
    <xf numFmtId="0" fontId="4" fillId="0" borderId="15" xfId="0" applyFont="1" applyBorder="1" applyAlignment="1">
      <alignment horizontal="right" vertical="center" wrapText="1"/>
    </xf>
    <xf numFmtId="175" fontId="4" fillId="0" borderId="15" xfId="0" applyNumberFormat="1" applyFont="1" applyBorder="1" applyAlignment="1">
      <alignment horizontal="right" vertical="center" wrapText="1"/>
    </xf>
    <xf numFmtId="0" fontId="0" fillId="0" borderId="15" xfId="0" applyFont="1" applyBorder="1" applyAlignment="1">
      <alignment horizontal="right" vertical="center" wrapText="1"/>
    </xf>
    <xf numFmtId="175" fontId="0" fillId="0" borderId="15" xfId="0" applyNumberFormat="1" applyFont="1" applyBorder="1" applyAlignment="1">
      <alignment horizontal="right" vertical="center" wrapText="1"/>
    </xf>
    <xf numFmtId="175" fontId="12" fillId="0" borderId="15" xfId="53" applyNumberFormat="1" applyFont="1" applyBorder="1" applyAlignment="1">
      <alignment horizontal="right" vertical="center" wrapText="1"/>
    </xf>
    <xf numFmtId="175" fontId="58" fillId="0" borderId="15" xfId="53" applyNumberFormat="1" applyFont="1" applyBorder="1" applyAlignment="1">
      <alignment horizontal="right" vertical="center" wrapText="1"/>
    </xf>
    <xf numFmtId="175" fontId="12" fillId="0" borderId="15" xfId="53" applyNumberFormat="1" applyFont="1" applyBorder="1" applyAlignment="1">
      <alignment horizontal="right" vertical="center" wrapText="1"/>
    </xf>
    <xf numFmtId="43" fontId="57" fillId="0" borderId="15" xfId="68" applyFont="1" applyBorder="1" applyAlignment="1">
      <alignment horizontal="right" vertical="center" wrapText="1"/>
    </xf>
    <xf numFmtId="188" fontId="12" fillId="0" borderId="15" xfId="68" applyNumberFormat="1" applyFont="1" applyBorder="1" applyAlignment="1">
      <alignment horizontal="right" vertical="center" wrapText="1"/>
    </xf>
    <xf numFmtId="0" fontId="54" fillId="0" borderId="15" xfId="0" applyFont="1" applyBorder="1" applyAlignment="1">
      <alignment horizontal="right" vertical="center" wrapText="1"/>
    </xf>
    <xf numFmtId="175" fontId="54" fillId="0" borderId="15" xfId="53" applyNumberFormat="1" applyFont="1" applyBorder="1" applyAlignment="1">
      <alignment horizontal="right" vertical="center" wrapText="1"/>
    </xf>
    <xf numFmtId="0" fontId="5" fillId="0" borderId="15" xfId="0" applyFont="1" applyBorder="1" applyAlignment="1">
      <alignment horizontal="right" vertical="center" wrapText="1"/>
    </xf>
    <xf numFmtId="0" fontId="0" fillId="0" borderId="15" xfId="0" applyFont="1" applyBorder="1" applyAlignment="1">
      <alignment horizontal="right" vertical="center" wrapText="1"/>
    </xf>
    <xf numFmtId="1" fontId="0" fillId="0" borderId="15" xfId="0" applyNumberFormat="1" applyFont="1" applyBorder="1" applyAlignment="1" quotePrefix="1">
      <alignment horizontal="right" vertical="center" wrapText="1"/>
    </xf>
    <xf numFmtId="181" fontId="0" fillId="0" borderId="15" xfId="0" applyNumberFormat="1" applyFont="1" applyBorder="1" applyAlignment="1">
      <alignment horizontal="right" vertical="center" wrapText="1"/>
    </xf>
    <xf numFmtId="181" fontId="0" fillId="0" borderId="15" xfId="0" applyNumberFormat="1" applyFont="1" applyBorder="1" applyAlignment="1" quotePrefix="1">
      <alignment horizontal="right" vertical="center" wrapText="1"/>
    </xf>
    <xf numFmtId="184" fontId="0" fillId="0" borderId="15" xfId="68" applyNumberFormat="1" applyFont="1" applyBorder="1" applyAlignment="1">
      <alignment horizontal="right" vertical="center" wrapText="1"/>
    </xf>
    <xf numFmtId="0" fontId="0" fillId="0" borderId="15" xfId="117" applyFont="1" applyFill="1" applyBorder="1" applyAlignment="1">
      <alignment horizontal="right" vertical="center" wrapText="1"/>
      <protection/>
    </xf>
    <xf numFmtId="184" fontId="0" fillId="0" borderId="15" xfId="0" applyNumberFormat="1" applyFont="1" applyBorder="1" applyAlignment="1">
      <alignment horizontal="right" vertical="center" wrapText="1"/>
    </xf>
    <xf numFmtId="184" fontId="4" fillId="0" borderId="15" xfId="0" applyNumberFormat="1" applyFont="1" applyBorder="1" applyAlignment="1">
      <alignment horizontal="right" vertical="center" wrapText="1"/>
    </xf>
    <xf numFmtId="9" fontId="0" fillId="0" borderId="15" xfId="0" applyNumberFormat="1" applyFont="1" applyBorder="1" applyAlignment="1">
      <alignment horizontal="right" vertical="center" wrapText="1"/>
    </xf>
    <xf numFmtId="9" fontId="0" fillId="0" borderId="15" xfId="0" applyNumberFormat="1" applyFont="1" applyBorder="1" applyAlignment="1">
      <alignment horizontal="right" vertical="center" wrapText="1"/>
    </xf>
    <xf numFmtId="184" fontId="0" fillId="0" borderId="15" xfId="0" applyNumberFormat="1" applyFont="1" applyBorder="1" applyAlignment="1">
      <alignment horizontal="right" vertical="center" wrapText="1"/>
    </xf>
    <xf numFmtId="184" fontId="0" fillId="0" borderId="19" xfId="68" applyNumberFormat="1" applyFont="1" applyBorder="1" applyAlignment="1">
      <alignment horizontal="right" vertical="center" wrapText="1"/>
    </xf>
    <xf numFmtId="184" fontId="0" fillId="0" borderId="19" xfId="0" applyNumberFormat="1" applyFont="1" applyBorder="1" applyAlignment="1">
      <alignment horizontal="right" vertical="center" wrapText="1"/>
    </xf>
    <xf numFmtId="9" fontId="4" fillId="0" borderId="15" xfId="0" applyNumberFormat="1" applyFont="1" applyBorder="1" applyAlignment="1">
      <alignment horizontal="right" vertical="center" wrapText="1"/>
    </xf>
    <xf numFmtId="0" fontId="0" fillId="0" borderId="15" xfId="0" applyFont="1" applyFill="1" applyBorder="1" applyAlignment="1">
      <alignment horizontal="left" vertical="center" wrapText="1"/>
    </xf>
    <xf numFmtId="175" fontId="12" fillId="0" borderId="15" xfId="53" applyNumberFormat="1" applyFont="1" applyFill="1" applyBorder="1" applyAlignment="1">
      <alignment horizontal="right" vertical="center" wrapText="1"/>
    </xf>
    <xf numFmtId="43" fontId="54" fillId="0" borderId="15" xfId="68" applyFont="1" applyBorder="1" applyAlignment="1">
      <alignment horizontal="right" vertical="center" wrapText="1"/>
    </xf>
    <xf numFmtId="164" fontId="0" fillId="0" borderId="15" xfId="53" applyNumberFormat="1" applyFont="1" applyBorder="1" applyAlignment="1">
      <alignment horizontal="right" vertical="center" wrapText="1"/>
    </xf>
    <xf numFmtId="0" fontId="0" fillId="0" borderId="0" xfId="0" applyFont="1" applyAlignment="1">
      <alignment vertical="center"/>
    </xf>
    <xf numFmtId="0" fontId="0" fillId="0" borderId="15" xfId="0" applyFont="1" applyFill="1" applyBorder="1" applyAlignment="1">
      <alignment horizontal="right" vertical="center"/>
    </xf>
    <xf numFmtId="3" fontId="0" fillId="0" borderId="15" xfId="0" applyNumberFormat="1" applyFont="1" applyFill="1" applyBorder="1" applyAlignment="1">
      <alignment horizontal="right" vertical="center"/>
    </xf>
    <xf numFmtId="4" fontId="0" fillId="0" borderId="15" xfId="0" applyNumberFormat="1" applyFont="1" applyFill="1" applyBorder="1" applyAlignment="1">
      <alignment horizontal="right" vertical="center"/>
    </xf>
    <xf numFmtId="0" fontId="5" fillId="0" borderId="15" xfId="0" applyFont="1" applyFill="1" applyBorder="1" applyAlignment="1">
      <alignment horizontal="right" vertical="center"/>
    </xf>
    <xf numFmtId="3" fontId="5" fillId="0" borderId="15" xfId="0" applyNumberFormat="1" applyFont="1" applyFill="1" applyBorder="1" applyAlignment="1">
      <alignment horizontal="right" vertical="center"/>
    </xf>
    <xf numFmtId="0" fontId="0" fillId="0" borderId="15" xfId="0" applyFont="1" applyFill="1" applyBorder="1" applyAlignment="1">
      <alignment horizontal="right" vertical="center"/>
    </xf>
    <xf numFmtId="0" fontId="0" fillId="0" borderId="19" xfId="0" applyFont="1" applyFill="1" applyBorder="1" applyAlignment="1">
      <alignment horizontal="right" vertical="center"/>
    </xf>
    <xf numFmtId="3" fontId="0" fillId="0" borderId="19" xfId="0" applyNumberFormat="1" applyFont="1" applyFill="1" applyBorder="1" applyAlignment="1">
      <alignment horizontal="right" vertical="center"/>
    </xf>
    <xf numFmtId="0" fontId="5" fillId="0" borderId="19" xfId="0" applyFont="1" applyFill="1" applyBorder="1" applyAlignment="1">
      <alignment horizontal="right" vertical="center"/>
    </xf>
    <xf numFmtId="4" fontId="5" fillId="0" borderId="15" xfId="124" applyNumberFormat="1" applyFont="1" applyFill="1" applyBorder="1" applyAlignment="1">
      <alignment horizontal="right" vertical="center"/>
      <protection/>
    </xf>
    <xf numFmtId="4" fontId="0" fillId="0" borderId="0" xfId="0" applyNumberFormat="1" applyFont="1" applyFill="1" applyAlignment="1">
      <alignment vertical="center"/>
    </xf>
    <xf numFmtId="0" fontId="5" fillId="0" borderId="0" xfId="124" applyFont="1" applyFill="1" applyAlignment="1">
      <alignment horizontal="center" vertical="center"/>
      <protection/>
    </xf>
    <xf numFmtId="0" fontId="54" fillId="0" borderId="0" xfId="123" applyFont="1" applyFill="1" applyBorder="1" applyAlignment="1">
      <alignment vertical="center"/>
      <protection/>
    </xf>
    <xf numFmtId="0" fontId="0" fillId="0" borderId="0" xfId="123" applyFont="1" applyFill="1" applyBorder="1" applyAlignment="1">
      <alignment vertical="center"/>
      <protection/>
    </xf>
    <xf numFmtId="0" fontId="0" fillId="0" borderId="0" xfId="123" applyFont="1" applyFill="1" applyAlignment="1">
      <alignment vertical="center"/>
      <protection/>
    </xf>
    <xf numFmtId="0" fontId="54" fillId="0" borderId="0" xfId="123" applyFont="1" applyFill="1" applyBorder="1" applyAlignment="1">
      <alignment vertical="center" wrapText="1"/>
      <protection/>
    </xf>
    <xf numFmtId="0" fontId="12" fillId="0" borderId="0" xfId="123" applyFont="1" applyFill="1" applyBorder="1" applyAlignment="1">
      <alignment vertical="center" wrapText="1"/>
      <protection/>
    </xf>
    <xf numFmtId="0" fontId="12" fillId="0" borderId="0" xfId="123" applyFont="1" applyFill="1" applyAlignment="1">
      <alignment vertical="center" wrapText="1"/>
      <protection/>
    </xf>
    <xf numFmtId="0" fontId="59" fillId="0" borderId="0" xfId="123" applyFont="1" applyFill="1" applyBorder="1" applyAlignment="1">
      <alignment vertical="center"/>
      <protection/>
    </xf>
    <xf numFmtId="0" fontId="11" fillId="0" borderId="0" xfId="123" applyFont="1" applyFill="1" applyBorder="1" applyAlignment="1">
      <alignment vertical="center"/>
      <protection/>
    </xf>
    <xf numFmtId="0" fontId="11" fillId="0" borderId="0" xfId="123" applyFont="1" applyFill="1" applyAlignment="1">
      <alignment vertical="center"/>
      <protection/>
    </xf>
    <xf numFmtId="0" fontId="12" fillId="0" borderId="0" xfId="123" applyFont="1" applyFill="1" applyBorder="1" applyAlignment="1">
      <alignment vertical="center"/>
      <protection/>
    </xf>
    <xf numFmtId="0" fontId="12" fillId="0" borderId="0" xfId="123" applyFont="1" applyFill="1" applyAlignment="1">
      <alignment vertical="center"/>
      <protection/>
    </xf>
    <xf numFmtId="0" fontId="64" fillId="0" borderId="0" xfId="123" applyFont="1" applyFill="1" applyBorder="1" applyAlignment="1">
      <alignment vertical="center"/>
      <protection/>
    </xf>
    <xf numFmtId="0" fontId="60" fillId="0" borderId="0" xfId="123" applyFont="1" applyFill="1" applyBorder="1" applyAlignment="1">
      <alignment vertical="center"/>
      <protection/>
    </xf>
    <xf numFmtId="0" fontId="66" fillId="0" borderId="0" xfId="123" applyFont="1" applyFill="1" applyBorder="1" applyAlignment="1">
      <alignment vertical="center"/>
      <protection/>
    </xf>
    <xf numFmtId="0" fontId="54" fillId="0" borderId="0" xfId="123" applyFont="1" applyFill="1" applyAlignment="1">
      <alignment vertical="center"/>
      <protection/>
    </xf>
    <xf numFmtId="175" fontId="12" fillId="0" borderId="0" xfId="53" applyNumberFormat="1" applyFont="1" applyFill="1" applyAlignment="1">
      <alignment vertical="center" wrapText="1"/>
    </xf>
    <xf numFmtId="175" fontId="0" fillId="0" borderId="0" xfId="53" applyNumberFormat="1" applyFont="1" applyFill="1" applyAlignment="1">
      <alignment vertical="center" wrapText="1"/>
    </xf>
    <xf numFmtId="0" fontId="59" fillId="0" borderId="0" xfId="103" applyFont="1" applyFill="1">
      <alignment/>
      <protection/>
    </xf>
    <xf numFmtId="0" fontId="5" fillId="0" borderId="0" xfId="103" applyFont="1" applyFill="1" applyAlignment="1">
      <alignment horizontal="left"/>
      <protection/>
    </xf>
    <xf numFmtId="0" fontId="5" fillId="0" borderId="0" xfId="103" applyFont="1" applyFill="1">
      <alignment/>
      <protection/>
    </xf>
    <xf numFmtId="0" fontId="12" fillId="0" borderId="0" xfId="103" applyFont="1" applyFill="1">
      <alignment/>
      <protection/>
    </xf>
    <xf numFmtId="0" fontId="52" fillId="0" borderId="0" xfId="103" applyFont="1" applyFill="1">
      <alignment/>
      <protection/>
    </xf>
    <xf numFmtId="0" fontId="12" fillId="0" borderId="0" xfId="103" applyFont="1" applyFill="1" applyAlignment="1">
      <alignment vertical="center"/>
      <protection/>
    </xf>
    <xf numFmtId="0" fontId="67" fillId="0" borderId="15" xfId="103" applyFont="1" applyFill="1" applyBorder="1" applyAlignment="1">
      <alignment horizontal="center" vertical="center"/>
      <protection/>
    </xf>
    <xf numFmtId="3" fontId="67" fillId="0" borderId="15" xfId="103" applyNumberFormat="1" applyFont="1" applyFill="1" applyBorder="1" applyAlignment="1">
      <alignment horizontal="right" vertical="center"/>
      <protection/>
    </xf>
    <xf numFmtId="0" fontId="68" fillId="0" borderId="0" xfId="103" applyFont="1" applyFill="1" applyAlignment="1">
      <alignment vertical="center"/>
      <protection/>
    </xf>
    <xf numFmtId="0" fontId="12" fillId="0" borderId="15" xfId="103" applyFont="1" applyFill="1" applyBorder="1" applyAlignment="1">
      <alignment horizontal="center" vertical="center"/>
      <protection/>
    </xf>
    <xf numFmtId="0" fontId="12" fillId="0" borderId="15" xfId="103" applyFont="1" applyFill="1" applyBorder="1" applyAlignment="1">
      <alignment horizontal="left" vertical="center"/>
      <protection/>
    </xf>
    <xf numFmtId="3" fontId="12" fillId="0" borderId="15" xfId="103" applyNumberFormat="1" applyFont="1" applyFill="1" applyBorder="1" applyAlignment="1">
      <alignment horizontal="right" vertical="center"/>
      <protection/>
    </xf>
    <xf numFmtId="3" fontId="12" fillId="0" borderId="15" xfId="103" applyNumberFormat="1" applyFont="1" applyFill="1" applyBorder="1" applyAlignment="1">
      <alignment vertical="center"/>
      <protection/>
    </xf>
    <xf numFmtId="3" fontId="12" fillId="0" borderId="0" xfId="103" applyNumberFormat="1" applyFont="1" applyFill="1" applyAlignment="1">
      <alignment vertical="center"/>
      <protection/>
    </xf>
    <xf numFmtId="3" fontId="12" fillId="0" borderId="15" xfId="103" applyNumberFormat="1" applyFont="1" applyFill="1" applyBorder="1" applyAlignment="1">
      <alignment horizontal="center" vertical="center"/>
      <protection/>
    </xf>
    <xf numFmtId="2" fontId="12" fillId="0" borderId="0" xfId="103" applyNumberFormat="1" applyFont="1" applyFill="1" applyAlignment="1">
      <alignment vertical="center"/>
      <protection/>
    </xf>
    <xf numFmtId="0" fontId="12" fillId="0" borderId="0" xfId="103" applyFont="1" applyFill="1" applyBorder="1" applyAlignment="1">
      <alignment vertical="center"/>
      <protection/>
    </xf>
    <xf numFmtId="2" fontId="12" fillId="0" borderId="0" xfId="103" applyNumberFormat="1" applyFont="1" applyFill="1" applyBorder="1" applyAlignment="1">
      <alignment vertical="center"/>
      <protection/>
    </xf>
    <xf numFmtId="0" fontId="11" fillId="0" borderId="15" xfId="103" applyFont="1" applyFill="1" applyBorder="1" applyAlignment="1">
      <alignment horizontal="left" vertical="center"/>
      <protection/>
    </xf>
    <xf numFmtId="3" fontId="11" fillId="0" borderId="15" xfId="103" applyNumberFormat="1" applyFont="1" applyFill="1" applyBorder="1" applyAlignment="1">
      <alignment vertical="center"/>
      <protection/>
    </xf>
    <xf numFmtId="0" fontId="11" fillId="0" borderId="15" xfId="103" applyFont="1" applyFill="1" applyBorder="1" applyAlignment="1">
      <alignment vertical="center"/>
      <protection/>
    </xf>
    <xf numFmtId="0" fontId="11" fillId="0" borderId="0" xfId="103" applyFont="1" applyFill="1" applyAlignment="1">
      <alignment vertical="center"/>
      <protection/>
    </xf>
    <xf numFmtId="0" fontId="12" fillId="0" borderId="15" xfId="103" applyFont="1" applyFill="1" applyBorder="1" applyAlignment="1">
      <alignment horizontal="left" vertical="center" wrapText="1"/>
      <protection/>
    </xf>
    <xf numFmtId="0" fontId="58" fillId="0" borderId="15" xfId="103" applyFont="1" applyFill="1" applyBorder="1" applyAlignment="1">
      <alignment horizontal="center" vertical="center"/>
      <protection/>
    </xf>
    <xf numFmtId="0" fontId="58" fillId="0" borderId="15" xfId="103" applyFont="1" applyFill="1" applyBorder="1" applyAlignment="1">
      <alignment horizontal="left" vertical="center"/>
      <protection/>
    </xf>
    <xf numFmtId="169" fontId="58" fillId="0" borderId="15" xfId="103" applyNumberFormat="1" applyFont="1" applyFill="1" applyBorder="1" applyAlignment="1">
      <alignment vertical="center"/>
      <protection/>
    </xf>
    <xf numFmtId="0" fontId="58" fillId="0" borderId="0" xfId="103" applyFont="1" applyFill="1" applyAlignment="1">
      <alignment vertical="center"/>
      <protection/>
    </xf>
    <xf numFmtId="2" fontId="12" fillId="0" borderId="15" xfId="103" applyNumberFormat="1" applyFont="1" applyFill="1" applyBorder="1" applyAlignment="1">
      <alignment horizontal="left" vertical="center" wrapText="1"/>
      <protection/>
    </xf>
    <xf numFmtId="2" fontId="58" fillId="0" borderId="15" xfId="103" applyNumberFormat="1" applyFont="1" applyFill="1" applyBorder="1" applyAlignment="1">
      <alignment horizontal="left" vertical="center" wrapText="1"/>
      <protection/>
    </xf>
    <xf numFmtId="169" fontId="58" fillId="0" borderId="15" xfId="103" applyNumberFormat="1" applyFont="1" applyFill="1" applyBorder="1" applyAlignment="1">
      <alignment horizontal="right" vertical="center"/>
      <protection/>
    </xf>
    <xf numFmtId="3" fontId="58" fillId="0" borderId="15" xfId="103" applyNumberFormat="1" applyFont="1" applyFill="1" applyBorder="1" applyAlignment="1">
      <alignment vertical="center"/>
      <protection/>
    </xf>
    <xf numFmtId="0" fontId="58" fillId="0" borderId="15" xfId="103" applyFont="1" applyFill="1" applyBorder="1" applyAlignment="1">
      <alignment vertical="center"/>
      <protection/>
    </xf>
    <xf numFmtId="0" fontId="12" fillId="0" borderId="15" xfId="103" applyFont="1" applyFill="1" applyBorder="1" applyAlignment="1">
      <alignment vertical="center"/>
      <protection/>
    </xf>
    <xf numFmtId="0" fontId="58" fillId="0" borderId="15" xfId="103" applyFont="1" applyFill="1" applyBorder="1" applyAlignment="1">
      <alignment horizontal="left" vertical="center" wrapText="1"/>
      <protection/>
    </xf>
    <xf numFmtId="175" fontId="12" fillId="0" borderId="15" xfId="74" applyNumberFormat="1" applyFont="1" applyFill="1" applyBorder="1" applyAlignment="1" quotePrefix="1">
      <alignment horizontal="center" vertical="center"/>
    </xf>
    <xf numFmtId="164" fontId="12" fillId="0" borderId="15" xfId="74" applyFont="1" applyFill="1" applyBorder="1" applyAlignment="1" quotePrefix="1">
      <alignment horizontal="center" vertical="center"/>
    </xf>
    <xf numFmtId="169" fontId="12" fillId="0" borderId="15" xfId="103" applyNumberFormat="1" applyFont="1" applyFill="1" applyBorder="1" applyAlignment="1">
      <alignment vertical="center"/>
      <protection/>
    </xf>
    <xf numFmtId="4" fontId="58" fillId="0" borderId="15" xfId="103" applyNumberFormat="1" applyFont="1" applyFill="1" applyBorder="1" applyAlignment="1">
      <alignment horizontal="right" vertical="center"/>
      <protection/>
    </xf>
    <xf numFmtId="175" fontId="58" fillId="0" borderId="15" xfId="74" applyNumberFormat="1" applyFont="1" applyFill="1" applyBorder="1" applyAlignment="1" quotePrefix="1">
      <alignment horizontal="center" vertical="center"/>
    </xf>
    <xf numFmtId="164" fontId="12" fillId="0" borderId="15" xfId="74" applyNumberFormat="1" applyFont="1" applyFill="1" applyBorder="1" applyAlignment="1" quotePrefix="1">
      <alignment horizontal="center" vertical="center"/>
    </xf>
    <xf numFmtId="0" fontId="12" fillId="0" borderId="15" xfId="103" applyFont="1" applyFill="1" applyBorder="1" applyAlignment="1">
      <alignment horizontal="right" vertical="center"/>
      <protection/>
    </xf>
    <xf numFmtId="2" fontId="58" fillId="0" borderId="15" xfId="103" applyNumberFormat="1" applyFont="1" applyFill="1" applyBorder="1" applyAlignment="1">
      <alignment horizontal="right" vertical="center"/>
      <protection/>
    </xf>
    <xf numFmtId="4" fontId="58" fillId="0" borderId="15" xfId="103" applyNumberFormat="1" applyFont="1" applyFill="1" applyBorder="1" applyAlignment="1">
      <alignment vertical="center"/>
      <protection/>
    </xf>
    <xf numFmtId="0" fontId="58" fillId="0" borderId="15" xfId="103" applyFont="1" applyFill="1" applyBorder="1" applyAlignment="1">
      <alignment horizontal="right" vertical="center"/>
      <protection/>
    </xf>
    <xf numFmtId="4" fontId="12" fillId="0" borderId="15" xfId="103" applyNumberFormat="1" applyFont="1" applyFill="1" applyBorder="1" applyAlignment="1">
      <alignment horizontal="right" vertical="center"/>
      <protection/>
    </xf>
    <xf numFmtId="169" fontId="12" fillId="0" borderId="15" xfId="103" applyNumberFormat="1" applyFont="1" applyFill="1" applyBorder="1" applyAlignment="1">
      <alignment horizontal="right" vertical="center"/>
      <protection/>
    </xf>
    <xf numFmtId="2" fontId="11" fillId="0" borderId="15" xfId="103" applyNumberFormat="1" applyFont="1" applyFill="1" applyBorder="1" applyAlignment="1">
      <alignment horizontal="left" vertical="center" wrapText="1"/>
      <protection/>
    </xf>
    <xf numFmtId="3" fontId="11" fillId="0" borderId="15" xfId="103" applyNumberFormat="1" applyFont="1" applyFill="1" applyBorder="1" applyAlignment="1">
      <alignment horizontal="right" vertical="center"/>
      <protection/>
    </xf>
    <xf numFmtId="1" fontId="11" fillId="0" borderId="15" xfId="103" applyNumberFormat="1" applyFont="1" applyFill="1" applyBorder="1" applyAlignment="1">
      <alignment horizontal="right" vertical="center"/>
      <protection/>
    </xf>
    <xf numFmtId="2" fontId="11" fillId="0" borderId="15" xfId="103" applyNumberFormat="1" applyFont="1" applyFill="1" applyBorder="1" applyAlignment="1">
      <alignment horizontal="right" vertical="center"/>
      <protection/>
    </xf>
    <xf numFmtId="1" fontId="12" fillId="0" borderId="15" xfId="103" applyNumberFormat="1" applyFont="1" applyFill="1" applyBorder="1" applyAlignment="1">
      <alignment horizontal="right" vertical="center"/>
      <protection/>
    </xf>
    <xf numFmtId="1" fontId="12" fillId="0" borderId="0" xfId="103" applyNumberFormat="1" applyFont="1" applyFill="1" applyAlignment="1">
      <alignment vertical="center"/>
      <protection/>
    </xf>
    <xf numFmtId="1" fontId="12" fillId="0" borderId="15" xfId="103" applyNumberFormat="1" applyFont="1" applyFill="1" applyBorder="1" applyAlignment="1">
      <alignment vertical="center"/>
      <protection/>
    </xf>
    <xf numFmtId="181" fontId="12" fillId="0" borderId="15" xfId="103" applyNumberFormat="1" applyFont="1" applyFill="1" applyBorder="1" applyAlignment="1">
      <alignment vertical="center"/>
      <protection/>
    </xf>
    <xf numFmtId="169" fontId="12" fillId="0" borderId="0" xfId="103" applyNumberFormat="1" applyFont="1" applyFill="1" applyAlignment="1">
      <alignment vertical="center"/>
      <protection/>
    </xf>
    <xf numFmtId="2" fontId="12" fillId="0" borderId="15" xfId="103" applyNumberFormat="1" applyFont="1" applyFill="1" applyBorder="1" applyAlignment="1">
      <alignment horizontal="right" vertical="center"/>
      <protection/>
    </xf>
    <xf numFmtId="0" fontId="11" fillId="0" borderId="13" xfId="103" applyFont="1" applyFill="1" applyBorder="1" applyAlignment="1">
      <alignment horizontal="center" vertical="center"/>
      <protection/>
    </xf>
    <xf numFmtId="4" fontId="12" fillId="0" borderId="15" xfId="103" applyNumberFormat="1" applyFont="1" applyFill="1" applyBorder="1" applyAlignment="1">
      <alignment horizontal="center" vertical="center"/>
      <protection/>
    </xf>
    <xf numFmtId="0" fontId="58" fillId="0" borderId="0" xfId="103" applyFont="1" applyFill="1" applyAlignment="1">
      <alignment vertical="center"/>
      <protection/>
    </xf>
    <xf numFmtId="0" fontId="12" fillId="0" borderId="0" xfId="103" applyFont="1" applyFill="1" applyAlignment="1">
      <alignment horizontal="left"/>
      <protection/>
    </xf>
    <xf numFmtId="0" fontId="11" fillId="0" borderId="0" xfId="103" applyFont="1" applyFill="1">
      <alignment/>
      <protection/>
    </xf>
    <xf numFmtId="0" fontId="3" fillId="0" borderId="0" xfId="103" applyFont="1" applyFill="1">
      <alignment/>
      <protection/>
    </xf>
    <xf numFmtId="0" fontId="0" fillId="0" borderId="0" xfId="103" applyFont="1" applyFill="1">
      <alignment/>
      <protection/>
    </xf>
    <xf numFmtId="0" fontId="0" fillId="0" borderId="0" xfId="103" applyFont="1" applyFill="1" applyAlignment="1">
      <alignment vertical="center"/>
      <protection/>
    </xf>
    <xf numFmtId="0" fontId="69" fillId="0" borderId="0" xfId="103" applyFont="1" applyFill="1" applyAlignment="1">
      <alignment vertical="center"/>
      <protection/>
    </xf>
    <xf numFmtId="3" fontId="12" fillId="0" borderId="15" xfId="103" applyNumberFormat="1" applyFont="1" applyFill="1" applyBorder="1" applyAlignment="1">
      <alignment vertical="center" wrapText="1"/>
      <protection/>
    </xf>
    <xf numFmtId="169" fontId="12" fillId="0" borderId="15" xfId="103" applyNumberFormat="1" applyFont="1" applyFill="1" applyBorder="1" applyAlignment="1">
      <alignment horizontal="right" vertical="center"/>
      <protection/>
    </xf>
    <xf numFmtId="181" fontId="12" fillId="0" borderId="0" xfId="103" applyNumberFormat="1" applyFont="1" applyFill="1" applyAlignment="1">
      <alignment vertical="center"/>
      <protection/>
    </xf>
    <xf numFmtId="0" fontId="12" fillId="0" borderId="0" xfId="103" applyFont="1" applyFill="1" applyAlignment="1">
      <alignment horizontal="right" vertical="center"/>
      <protection/>
    </xf>
    <xf numFmtId="3" fontId="12" fillId="0" borderId="15" xfId="103" applyNumberFormat="1" applyFont="1" applyFill="1" applyBorder="1" applyAlignment="1">
      <alignment horizontal="right" vertical="center" wrapText="1"/>
      <protection/>
    </xf>
    <xf numFmtId="3" fontId="11" fillId="0" borderId="0" xfId="103" applyNumberFormat="1" applyFont="1" applyFill="1" applyAlignment="1">
      <alignment vertical="center"/>
      <protection/>
    </xf>
    <xf numFmtId="0" fontId="70" fillId="0" borderId="0" xfId="103" applyFont="1" applyFill="1" applyAlignment="1">
      <alignment vertical="center"/>
      <protection/>
    </xf>
    <xf numFmtId="3" fontId="70" fillId="0" borderId="0" xfId="103" applyNumberFormat="1" applyFont="1" applyFill="1" applyAlignment="1">
      <alignment vertical="center"/>
      <protection/>
    </xf>
    <xf numFmtId="0" fontId="12" fillId="0" borderId="15" xfId="137" applyFont="1" applyFill="1" applyBorder="1" applyAlignment="1">
      <alignment horizontal="center" vertical="center" wrapText="1"/>
      <protection/>
    </xf>
    <xf numFmtId="0" fontId="12" fillId="0" borderId="15" xfId="103" applyFont="1" applyFill="1" applyBorder="1" applyAlignment="1">
      <alignment horizontal="center" vertical="center" wrapText="1"/>
      <protection/>
    </xf>
    <xf numFmtId="0" fontId="54" fillId="0" borderId="0" xfId="103" applyFont="1" applyFill="1" applyBorder="1" applyAlignment="1">
      <alignment vertical="center" wrapText="1"/>
      <protection/>
    </xf>
    <xf numFmtId="0" fontId="0" fillId="0" borderId="0" xfId="103" applyFont="1" applyFill="1" applyAlignment="1">
      <alignment horizontal="center"/>
      <protection/>
    </xf>
    <xf numFmtId="191" fontId="0" fillId="0" borderId="0" xfId="103" applyNumberFormat="1" applyFont="1" applyFill="1">
      <alignment/>
      <protection/>
    </xf>
    <xf numFmtId="191" fontId="10" fillId="0" borderId="0" xfId="103" applyNumberFormat="1" applyFont="1" applyFill="1">
      <alignment/>
      <protection/>
    </xf>
    <xf numFmtId="186" fontId="0" fillId="0" borderId="0" xfId="103" applyNumberFormat="1" applyFont="1" applyFill="1">
      <alignment/>
      <protection/>
    </xf>
    <xf numFmtId="2" fontId="12" fillId="0" borderId="0" xfId="103" applyNumberFormat="1" applyFont="1" applyFill="1">
      <alignment/>
      <protection/>
    </xf>
    <xf numFmtId="181" fontId="12" fillId="0" borderId="0" xfId="103" applyNumberFormat="1" applyFont="1" applyFill="1">
      <alignment/>
      <protection/>
    </xf>
    <xf numFmtId="0" fontId="11" fillId="0" borderId="0" xfId="103" applyFont="1">
      <alignment/>
      <protection/>
    </xf>
    <xf numFmtId="0" fontId="54" fillId="0" borderId="0" xfId="103" applyFont="1">
      <alignment/>
      <protection/>
    </xf>
    <xf numFmtId="0" fontId="54" fillId="0" borderId="0" xfId="103" applyFont="1" applyAlignment="1">
      <alignment vertical="center"/>
      <protection/>
    </xf>
    <xf numFmtId="0" fontId="11" fillId="33" borderId="20" xfId="138" applyFont="1" applyFill="1" applyBorder="1" applyAlignment="1">
      <alignment horizontal="center" vertical="center" wrapText="1"/>
      <protection/>
    </xf>
    <xf numFmtId="0" fontId="64" fillId="0" borderId="15" xfId="136" applyFont="1" applyFill="1" applyBorder="1" applyAlignment="1">
      <alignment horizontal="center" vertical="center" wrapText="1"/>
      <protection/>
    </xf>
    <xf numFmtId="0" fontId="11" fillId="33" borderId="15" xfId="138" applyFont="1" applyFill="1" applyBorder="1" applyAlignment="1">
      <alignment horizontal="center" vertical="center"/>
      <protection/>
    </xf>
    <xf numFmtId="0" fontId="11" fillId="33" borderId="15" xfId="138" applyFont="1" applyFill="1" applyBorder="1" applyAlignment="1">
      <alignment horizontal="left" vertical="center" wrapText="1"/>
      <protection/>
    </xf>
    <xf numFmtId="192" fontId="11" fillId="33" borderId="15" xfId="138" applyNumberFormat="1" applyFont="1" applyFill="1" applyBorder="1" applyAlignment="1">
      <alignment horizontal="right" vertical="center" wrapText="1"/>
      <protection/>
    </xf>
    <xf numFmtId="181" fontId="12" fillId="33" borderId="15" xfId="135" applyNumberFormat="1" applyFont="1" applyFill="1" applyBorder="1" applyAlignment="1">
      <alignment horizontal="right" vertical="center" wrapText="1"/>
      <protection/>
    </xf>
    <xf numFmtId="181" fontId="12" fillId="33" borderId="15" xfId="138" applyNumberFormat="1" applyFont="1" applyFill="1" applyBorder="1" applyAlignment="1">
      <alignment horizontal="right" vertical="center" wrapText="1"/>
      <protection/>
    </xf>
    <xf numFmtId="0" fontId="12" fillId="33" borderId="15" xfId="138" applyFont="1" applyFill="1" applyBorder="1" applyAlignment="1">
      <alignment horizontal="center" vertical="center"/>
      <protection/>
    </xf>
    <xf numFmtId="0" fontId="12" fillId="33" borderId="15" xfId="138" applyFont="1" applyFill="1" applyBorder="1" applyAlignment="1">
      <alignment horizontal="left" vertical="center" wrapText="1"/>
      <protection/>
    </xf>
    <xf numFmtId="0" fontId="12" fillId="33" borderId="15" xfId="138" applyFont="1" applyFill="1" applyBorder="1" applyAlignment="1">
      <alignment horizontal="center" vertical="center" wrapText="1"/>
      <protection/>
    </xf>
    <xf numFmtId="0" fontId="12" fillId="33" borderId="15" xfId="103" applyFont="1" applyFill="1" applyBorder="1" applyAlignment="1">
      <alignment horizontal="left" vertical="center" wrapText="1"/>
      <protection/>
    </xf>
    <xf numFmtId="0" fontId="12" fillId="33" borderId="15" xfId="103" applyFont="1" applyFill="1" applyBorder="1" applyAlignment="1">
      <alignment horizontal="center" vertical="center"/>
      <protection/>
    </xf>
    <xf numFmtId="0" fontId="12" fillId="33" borderId="20" xfId="138" applyFont="1" applyFill="1" applyBorder="1" applyAlignment="1">
      <alignment horizontal="center" vertical="center"/>
      <protection/>
    </xf>
    <xf numFmtId="0" fontId="12" fillId="33" borderId="10" xfId="138" applyFont="1" applyFill="1" applyBorder="1" applyAlignment="1">
      <alignment horizontal="center" vertical="center"/>
      <protection/>
    </xf>
    <xf numFmtId="0" fontId="12" fillId="33" borderId="21" xfId="138" applyFont="1" applyFill="1" applyBorder="1" applyAlignment="1">
      <alignment horizontal="center" vertical="center"/>
      <protection/>
    </xf>
    <xf numFmtId="9" fontId="12" fillId="33" borderId="15" xfId="138" applyNumberFormat="1" applyFont="1" applyFill="1" applyBorder="1" applyAlignment="1">
      <alignment horizontal="center" vertical="center" wrapText="1"/>
      <protection/>
    </xf>
    <xf numFmtId="0" fontId="59" fillId="0" borderId="0" xfId="103" applyFont="1">
      <alignment/>
      <protection/>
    </xf>
    <xf numFmtId="3" fontId="59" fillId="0" borderId="0" xfId="103" applyNumberFormat="1" applyFont="1">
      <alignment/>
      <protection/>
    </xf>
    <xf numFmtId="0" fontId="58" fillId="33" borderId="15" xfId="138" applyFont="1" applyFill="1" applyBorder="1" applyAlignment="1">
      <alignment horizontal="center" vertical="center"/>
      <protection/>
    </xf>
    <xf numFmtId="0" fontId="58" fillId="33" borderId="15" xfId="138" applyFont="1" applyFill="1" applyBorder="1" applyAlignment="1">
      <alignment horizontal="left" vertical="center" wrapText="1"/>
      <protection/>
    </xf>
    <xf numFmtId="0" fontId="58" fillId="33" borderId="15" xfId="138" applyFont="1" applyFill="1" applyBorder="1" applyAlignment="1">
      <alignment horizontal="center" vertical="center" wrapText="1"/>
      <protection/>
    </xf>
    <xf numFmtId="3" fontId="54" fillId="0" borderId="0" xfId="103" applyNumberFormat="1" applyFont="1">
      <alignment/>
      <protection/>
    </xf>
    <xf numFmtId="0" fontId="58" fillId="33" borderId="20" xfId="138" applyFont="1" applyFill="1" applyBorder="1" applyAlignment="1">
      <alignment horizontal="center" vertical="center"/>
      <protection/>
    </xf>
    <xf numFmtId="0" fontId="58" fillId="33" borderId="10" xfId="138" applyFont="1" applyFill="1" applyBorder="1" applyAlignment="1">
      <alignment horizontal="center" vertical="center"/>
      <protection/>
    </xf>
    <xf numFmtId="0" fontId="58" fillId="33" borderId="21" xfId="138" applyFont="1" applyFill="1" applyBorder="1" applyAlignment="1">
      <alignment horizontal="center" vertical="center"/>
      <protection/>
    </xf>
    <xf numFmtId="0" fontId="11" fillId="33" borderId="21" xfId="138" applyFont="1" applyFill="1" applyBorder="1" applyAlignment="1">
      <alignment horizontal="center" vertical="center"/>
      <protection/>
    </xf>
    <xf numFmtId="0" fontId="12" fillId="33" borderId="21" xfId="138" applyFont="1" applyFill="1" applyBorder="1" applyAlignment="1">
      <alignment horizontal="center" vertical="center" wrapText="1"/>
      <protection/>
    </xf>
    <xf numFmtId="49" fontId="12" fillId="0" borderId="13" xfId="103" applyNumberFormat="1" applyFont="1" applyFill="1" applyBorder="1" applyAlignment="1" applyProtection="1">
      <alignment horizontal="center" vertical="center" wrapText="1"/>
      <protection/>
    </xf>
    <xf numFmtId="0" fontId="12" fillId="0" borderId="13" xfId="103" applyFont="1" applyFill="1" applyBorder="1" applyAlignment="1" applyProtection="1">
      <alignment horizontal="left" vertical="center" wrapText="1"/>
      <protection/>
    </xf>
    <xf numFmtId="0" fontId="12" fillId="0" borderId="13" xfId="103" applyFont="1" applyFill="1" applyBorder="1" applyAlignment="1" applyProtection="1">
      <alignment horizontal="center" vertical="center" wrapText="1"/>
      <protection/>
    </xf>
    <xf numFmtId="0" fontId="60" fillId="0" borderId="13" xfId="103" applyFont="1" applyFill="1" applyBorder="1" applyAlignment="1" applyProtection="1">
      <alignment horizontal="center" vertical="center" wrapText="1"/>
      <protection/>
    </xf>
    <xf numFmtId="2" fontId="12" fillId="0" borderId="13" xfId="103" applyNumberFormat="1" applyFont="1" applyFill="1" applyBorder="1" applyAlignment="1" applyProtection="1">
      <alignment horizontal="left" vertical="center" wrapText="1"/>
      <protection/>
    </xf>
    <xf numFmtId="0" fontId="12" fillId="0" borderId="13" xfId="115" applyFont="1" applyFill="1" applyBorder="1" applyAlignment="1" applyProtection="1">
      <alignment horizontal="left" vertical="center" wrapText="1"/>
      <protection/>
    </xf>
    <xf numFmtId="0" fontId="62" fillId="0" borderId="22" xfId="103" applyFont="1" applyFill="1" applyBorder="1" applyAlignment="1" applyProtection="1">
      <alignment horizontal="left" vertical="center" wrapText="1"/>
      <protection/>
    </xf>
    <xf numFmtId="0" fontId="62" fillId="0" borderId="22" xfId="103" applyFont="1" applyFill="1" applyBorder="1" applyAlignment="1" applyProtection="1">
      <alignment horizontal="center" vertical="center" wrapText="1"/>
      <protection/>
    </xf>
    <xf numFmtId="3" fontId="62" fillId="0" borderId="22" xfId="103" applyNumberFormat="1" applyFont="1" applyFill="1" applyBorder="1" applyAlignment="1" applyProtection="1">
      <alignment horizontal="center" vertical="center" wrapText="1"/>
      <protection/>
    </xf>
    <xf numFmtId="0" fontId="62" fillId="0" borderId="13" xfId="103" applyFont="1" applyFill="1" applyBorder="1" applyAlignment="1" applyProtection="1">
      <alignment horizontal="left" vertical="center" wrapText="1"/>
      <protection/>
    </xf>
    <xf numFmtId="0" fontId="62" fillId="0" borderId="13" xfId="103" applyFont="1" applyFill="1" applyBorder="1" applyAlignment="1" applyProtection="1">
      <alignment horizontal="center" vertical="center" wrapText="1"/>
      <protection/>
    </xf>
    <xf numFmtId="3" fontId="62" fillId="0" borderId="13" xfId="103" applyNumberFormat="1" applyFont="1" applyFill="1" applyBorder="1" applyAlignment="1" applyProtection="1">
      <alignment horizontal="center" vertical="center" wrapText="1"/>
      <protection/>
    </xf>
    <xf numFmtId="0" fontId="62" fillId="0" borderId="18" xfId="103" applyFont="1" applyFill="1" applyBorder="1" applyAlignment="1" applyProtection="1">
      <alignment horizontal="left" vertical="center" wrapText="1"/>
      <protection/>
    </xf>
    <xf numFmtId="0" fontId="62" fillId="0" borderId="18" xfId="103" applyFont="1" applyFill="1" applyBorder="1" applyAlignment="1" applyProtection="1">
      <alignment horizontal="center" vertical="center" wrapText="1"/>
      <protection/>
    </xf>
    <xf numFmtId="3" fontId="62" fillId="0" borderId="18" xfId="103" applyNumberFormat="1" applyFont="1" applyFill="1" applyBorder="1" applyAlignment="1" applyProtection="1">
      <alignment horizontal="center" vertical="center" wrapText="1"/>
      <protection/>
    </xf>
    <xf numFmtId="3" fontId="62" fillId="0" borderId="15" xfId="103" applyNumberFormat="1" applyFont="1" applyFill="1" applyBorder="1" applyAlignment="1" applyProtection="1">
      <alignment horizontal="center" vertical="center" wrapText="1"/>
      <protection/>
    </xf>
    <xf numFmtId="0" fontId="0" fillId="33" borderId="0" xfId="141" applyFont="1" applyFill="1" applyAlignment="1">
      <alignment vertical="center"/>
      <protection/>
    </xf>
    <xf numFmtId="0" fontId="0" fillId="33" borderId="0" xfId="141" applyFont="1" applyFill="1" applyAlignment="1">
      <alignment horizontal="center" vertical="center"/>
      <protection/>
    </xf>
    <xf numFmtId="0" fontId="0" fillId="33" borderId="0" xfId="141" applyFont="1" applyFill="1" applyAlignment="1">
      <alignment vertical="center"/>
      <protection/>
    </xf>
    <xf numFmtId="1" fontId="3" fillId="0" borderId="0" xfId="133" applyNumberFormat="1" applyFont="1" applyFill="1" applyBorder="1" applyAlignment="1">
      <alignment vertical="center" wrapText="1"/>
      <protection/>
    </xf>
    <xf numFmtId="0" fontId="4" fillId="33" borderId="0" xfId="141" applyFont="1" applyFill="1" applyBorder="1" applyAlignment="1">
      <alignment horizontal="center" vertical="center"/>
      <protection/>
    </xf>
    <xf numFmtId="49" fontId="0" fillId="33" borderId="20" xfId="141" applyNumberFormat="1" applyFont="1" applyFill="1" applyBorder="1" applyAlignment="1">
      <alignment horizontal="center" vertical="center" wrapText="1"/>
      <protection/>
    </xf>
    <xf numFmtId="0" fontId="5" fillId="33" borderId="15" xfId="141" applyFont="1" applyFill="1" applyBorder="1" applyAlignment="1">
      <alignment horizontal="center" vertical="center"/>
      <protection/>
    </xf>
    <xf numFmtId="0" fontId="0" fillId="33" borderId="15" xfId="141" applyFont="1" applyFill="1" applyBorder="1" applyAlignment="1">
      <alignment vertical="center"/>
      <protection/>
    </xf>
    <xf numFmtId="3" fontId="5" fillId="33" borderId="15" xfId="141" applyNumberFormat="1" applyFont="1" applyFill="1" applyBorder="1" applyAlignment="1">
      <alignment horizontal="center" vertical="center"/>
      <protection/>
    </xf>
    <xf numFmtId="0" fontId="5" fillId="33" borderId="15" xfId="141" applyFont="1" applyFill="1" applyBorder="1" applyAlignment="1">
      <alignment vertical="center"/>
      <protection/>
    </xf>
    <xf numFmtId="0" fontId="5" fillId="33" borderId="0" xfId="141" applyFont="1" applyFill="1" applyAlignment="1">
      <alignment vertical="center"/>
      <protection/>
    </xf>
    <xf numFmtId="0" fontId="0" fillId="33" borderId="15" xfId="141" applyFont="1" applyFill="1" applyBorder="1" applyAlignment="1" quotePrefix="1">
      <alignment horizontal="center" vertical="center"/>
      <protection/>
    </xf>
    <xf numFmtId="49" fontId="0" fillId="33" borderId="15" xfId="141" applyNumberFormat="1" applyFont="1" applyFill="1" applyBorder="1" applyAlignment="1">
      <alignment vertical="center" wrapText="1"/>
      <protection/>
    </xf>
    <xf numFmtId="0" fontId="0" fillId="33" borderId="15" xfId="141" applyFont="1" applyFill="1" applyBorder="1" applyAlignment="1">
      <alignment vertical="center" wrapText="1"/>
      <protection/>
    </xf>
    <xf numFmtId="3" fontId="0" fillId="33" borderId="15" xfId="141" applyNumberFormat="1" applyFont="1" applyFill="1" applyBorder="1" applyAlignment="1">
      <alignment horizontal="center" vertical="center"/>
      <protection/>
    </xf>
    <xf numFmtId="49" fontId="0" fillId="33" borderId="20" xfId="141" applyNumberFormat="1" applyFont="1" applyFill="1" applyBorder="1" applyAlignment="1">
      <alignment horizontal="left" vertical="center" wrapText="1"/>
      <protection/>
    </xf>
    <xf numFmtId="0" fontId="0" fillId="0" borderId="15" xfId="141" applyFont="1" applyFill="1" applyBorder="1" applyAlignment="1">
      <alignment horizontal="center" vertical="center"/>
      <protection/>
    </xf>
    <xf numFmtId="184" fontId="0" fillId="0" borderId="15" xfId="81" applyNumberFormat="1" applyFont="1" applyFill="1" applyBorder="1" applyAlignment="1">
      <alignment horizontal="center" vertical="center"/>
    </xf>
    <xf numFmtId="0" fontId="0" fillId="0" borderId="0" xfId="141" applyFont="1" applyFill="1" applyAlignment="1">
      <alignment vertical="center"/>
      <protection/>
    </xf>
    <xf numFmtId="49" fontId="5" fillId="33" borderId="15" xfId="141" applyNumberFormat="1" applyFont="1" applyFill="1" applyBorder="1" applyAlignment="1">
      <alignment vertical="center"/>
      <protection/>
    </xf>
    <xf numFmtId="0" fontId="0" fillId="33" borderId="0" xfId="141" applyFont="1" applyFill="1" applyAlignment="1">
      <alignment horizontal="center" vertical="center"/>
      <protection/>
    </xf>
    <xf numFmtId="49" fontId="0" fillId="33" borderId="0" xfId="141" applyNumberFormat="1" applyFont="1" applyFill="1" applyAlignment="1">
      <alignment vertical="center"/>
      <protection/>
    </xf>
    <xf numFmtId="0" fontId="8" fillId="0" borderId="15" xfId="0" applyFont="1" applyFill="1" applyBorder="1" applyAlignment="1">
      <alignment horizontal="center" vertical="center"/>
    </xf>
    <xf numFmtId="0" fontId="69" fillId="0" borderId="15" xfId="0" applyFont="1" applyFill="1" applyBorder="1" applyAlignment="1">
      <alignment horizontal="left" vertical="center" wrapText="1"/>
    </xf>
    <xf numFmtId="4" fontId="69" fillId="0" borderId="15" xfId="50" applyNumberFormat="1" applyFont="1" applyFill="1" applyBorder="1" applyAlignment="1">
      <alignment horizontal="right" vertical="center" wrapText="1"/>
    </xf>
    <xf numFmtId="2" fontId="8" fillId="0" borderId="0" xfId="0" applyNumberFormat="1" applyFont="1" applyFill="1" applyAlignment="1">
      <alignment vertical="center"/>
    </xf>
    <xf numFmtId="0" fontId="8" fillId="0" borderId="0" xfId="0" applyFont="1" applyFill="1" applyAlignment="1">
      <alignment vertical="center"/>
    </xf>
    <xf numFmtId="43" fontId="8" fillId="0" borderId="0" xfId="0" applyNumberFormat="1" applyFont="1" applyFill="1" applyAlignment="1">
      <alignment vertical="center"/>
    </xf>
    <xf numFmtId="4" fontId="63" fillId="0" borderId="15" xfId="50" applyNumberFormat="1" applyFont="1" applyFill="1" applyBorder="1" applyAlignment="1">
      <alignment horizontal="right" vertical="center" wrapText="1"/>
    </xf>
    <xf numFmtId="2" fontId="4" fillId="0" borderId="0" xfId="0" applyNumberFormat="1" applyFont="1" applyFill="1" applyAlignment="1">
      <alignment vertical="center"/>
    </xf>
    <xf numFmtId="185" fontId="5" fillId="0" borderId="0" xfId="144" applyNumberFormat="1" applyFont="1" applyFill="1" applyAlignment="1">
      <alignment vertical="center"/>
    </xf>
    <xf numFmtId="186" fontId="5" fillId="0" borderId="0" xfId="0" applyNumberFormat="1" applyFont="1" applyFill="1" applyAlignment="1">
      <alignment vertical="center"/>
    </xf>
    <xf numFmtId="184" fontId="5" fillId="0" borderId="0" xfId="0" applyNumberFormat="1" applyFont="1" applyFill="1" applyAlignment="1">
      <alignment vertical="center"/>
    </xf>
    <xf numFmtId="4" fontId="3" fillId="0" borderId="15" xfId="50" applyNumberFormat="1" applyFont="1" applyFill="1" applyBorder="1" applyAlignment="1">
      <alignment horizontal="right" vertical="center" wrapText="1"/>
    </xf>
    <xf numFmtId="4" fontId="5" fillId="0" borderId="15" xfId="0" applyNumberFormat="1" applyFont="1" applyFill="1" applyBorder="1" applyAlignment="1">
      <alignment horizontal="right" vertical="center"/>
    </xf>
    <xf numFmtId="0" fontId="13" fillId="0" borderId="0" xfId="0" applyFont="1" applyFill="1" applyAlignment="1">
      <alignment vertical="center"/>
    </xf>
    <xf numFmtId="0" fontId="60" fillId="0" borderId="0" xfId="123" applyFont="1" applyFill="1" applyBorder="1" applyAlignment="1">
      <alignment vertical="center" wrapText="1"/>
      <protection/>
    </xf>
    <xf numFmtId="43" fontId="59" fillId="0" borderId="15" xfId="52" applyNumberFormat="1" applyFont="1" applyFill="1" applyBorder="1" applyAlignment="1">
      <alignment horizontal="center" vertical="center" wrapText="1"/>
    </xf>
    <xf numFmtId="0" fontId="54" fillId="0" borderId="15" xfId="114" applyFont="1" applyFill="1" applyBorder="1" applyAlignment="1">
      <alignment horizontal="center" vertical="center" wrapText="1"/>
      <protection/>
    </xf>
    <xf numFmtId="43" fontId="54" fillId="0" borderId="15" xfId="52" applyNumberFormat="1" applyFont="1" applyFill="1" applyBorder="1" applyAlignment="1">
      <alignment horizontal="center" vertical="center" wrapText="1"/>
    </xf>
    <xf numFmtId="0" fontId="59" fillId="0" borderId="0" xfId="114" applyFont="1" applyFill="1" applyAlignment="1">
      <alignment vertical="center"/>
      <protection/>
    </xf>
    <xf numFmtId="4" fontId="67" fillId="0" borderId="15" xfId="103" applyNumberFormat="1" applyFont="1" applyFill="1" applyBorder="1" applyAlignment="1">
      <alignment vertical="center"/>
      <protection/>
    </xf>
    <xf numFmtId="2" fontId="12" fillId="0" borderId="15" xfId="138" applyNumberFormat="1" applyFont="1" applyFill="1" applyBorder="1" applyAlignment="1">
      <alignment horizontal="right" vertical="center" wrapText="1"/>
      <protection/>
    </xf>
    <xf numFmtId="2" fontId="58" fillId="0" borderId="15" xfId="103" applyNumberFormat="1" applyFont="1" applyFill="1" applyBorder="1" applyAlignment="1">
      <alignment vertical="center"/>
      <protection/>
    </xf>
    <xf numFmtId="3" fontId="12" fillId="0" borderId="13" xfId="114" applyNumberFormat="1" applyFont="1" applyFill="1" applyBorder="1" applyAlignment="1">
      <alignment horizontal="right" vertical="center" wrapText="1"/>
      <protection/>
    </xf>
    <xf numFmtId="3" fontId="12" fillId="0" borderId="15" xfId="114" applyNumberFormat="1" applyFont="1" applyFill="1" applyBorder="1" applyAlignment="1">
      <alignment horizontal="right" vertical="center" wrapText="1"/>
      <protection/>
    </xf>
    <xf numFmtId="2" fontId="58" fillId="0" borderId="15" xfId="114" applyNumberFormat="1" applyFont="1" applyFill="1" applyBorder="1" applyAlignment="1">
      <alignment horizontal="right" vertical="center" wrapText="1"/>
      <protection/>
    </xf>
    <xf numFmtId="1" fontId="58" fillId="0" borderId="15" xfId="103" applyNumberFormat="1" applyFont="1" applyFill="1" applyBorder="1" applyAlignment="1">
      <alignment horizontal="right" vertical="center"/>
      <protection/>
    </xf>
    <xf numFmtId="2" fontId="58" fillId="0" borderId="15" xfId="138" applyNumberFormat="1" applyFont="1" applyFill="1" applyBorder="1" applyAlignment="1">
      <alignment horizontal="right" vertical="center" wrapText="1"/>
      <protection/>
    </xf>
    <xf numFmtId="2" fontId="11" fillId="0" borderId="15" xfId="138" applyNumberFormat="1" applyFont="1" applyFill="1" applyBorder="1" applyAlignment="1">
      <alignment horizontal="right" vertical="center" wrapText="1"/>
      <protection/>
    </xf>
    <xf numFmtId="2" fontId="12" fillId="0" borderId="15" xfId="103" applyNumberFormat="1" applyFont="1" applyFill="1" applyBorder="1" applyAlignment="1">
      <alignment vertical="center"/>
      <protection/>
    </xf>
    <xf numFmtId="175" fontId="60" fillId="0" borderId="15" xfId="83" applyNumberFormat="1" applyFont="1" applyFill="1" applyBorder="1" applyAlignment="1">
      <alignment horizontal="right" vertical="center" wrapText="1"/>
    </xf>
    <xf numFmtId="3" fontId="60" fillId="0" borderId="15" xfId="103" applyNumberFormat="1" applyFont="1" applyFill="1" applyBorder="1" applyAlignment="1">
      <alignment horizontal="right" vertical="center"/>
      <protection/>
    </xf>
    <xf numFmtId="2" fontId="60" fillId="0" borderId="15" xfId="138" applyNumberFormat="1" applyFont="1" applyFill="1" applyBorder="1" applyAlignment="1">
      <alignment horizontal="right" vertical="center" wrapText="1"/>
      <protection/>
    </xf>
    <xf numFmtId="2" fontId="60" fillId="0" borderId="15" xfId="103" applyNumberFormat="1" applyFont="1" applyFill="1" applyBorder="1" applyAlignment="1">
      <alignment horizontal="right" vertical="center"/>
      <protection/>
    </xf>
    <xf numFmtId="183" fontId="12" fillId="0" borderId="0" xfId="103" applyNumberFormat="1" applyFont="1" applyFill="1">
      <alignment/>
      <protection/>
    </xf>
    <xf numFmtId="183" fontId="12" fillId="0" borderId="0" xfId="103" applyNumberFormat="1" applyFont="1" applyFill="1" applyAlignment="1">
      <alignment vertical="center"/>
      <protection/>
    </xf>
    <xf numFmtId="0" fontId="11" fillId="0" borderId="0" xfId="103" applyFont="1" applyFill="1" applyAlignment="1">
      <alignment vertical="center"/>
      <protection/>
    </xf>
    <xf numFmtId="0" fontId="70" fillId="0" borderId="0" xfId="103" applyFont="1" applyFill="1" applyAlignment="1">
      <alignment vertical="center"/>
      <protection/>
    </xf>
    <xf numFmtId="0" fontId="3" fillId="0" borderId="1" xfId="103" applyFont="1" applyFill="1" applyBorder="1" applyAlignment="1">
      <alignment horizontal="center" vertical="center" wrapText="1"/>
      <protection/>
    </xf>
    <xf numFmtId="49" fontId="59" fillId="0" borderId="15" xfId="136" applyNumberFormat="1" applyFont="1" applyFill="1" applyBorder="1" applyAlignment="1">
      <alignment vertical="center" wrapText="1"/>
      <protection/>
    </xf>
    <xf numFmtId="0" fontId="12" fillId="0" borderId="15" xfId="136" applyFont="1" applyFill="1" applyBorder="1" applyAlignment="1">
      <alignment horizontal="center" vertical="center" wrapText="1"/>
      <protection/>
    </xf>
    <xf numFmtId="1" fontId="0" fillId="0" borderId="0" xfId="103" applyNumberFormat="1" applyFont="1" applyFill="1" applyAlignment="1">
      <alignment vertical="center"/>
      <protection/>
    </xf>
    <xf numFmtId="49" fontId="11" fillId="0" borderId="0" xfId="136" applyNumberFormat="1" applyFont="1" applyFill="1" applyBorder="1" applyAlignment="1" quotePrefix="1">
      <alignment horizontal="center" vertical="center" wrapText="1"/>
      <protection/>
    </xf>
    <xf numFmtId="49" fontId="11" fillId="0" borderId="0" xfId="136" applyNumberFormat="1" applyFont="1" applyFill="1" applyBorder="1" applyAlignment="1" quotePrefix="1">
      <alignment vertical="center" wrapText="1"/>
      <protection/>
    </xf>
    <xf numFmtId="49" fontId="11" fillId="0" borderId="0" xfId="136" applyNumberFormat="1" applyFont="1" applyFill="1" applyBorder="1" applyAlignment="1" quotePrefix="1">
      <alignment horizontal="right" vertical="center" wrapText="1"/>
      <protection/>
    </xf>
    <xf numFmtId="1" fontId="11" fillId="0" borderId="0" xfId="103" applyNumberFormat="1" applyFont="1" applyFill="1" applyBorder="1" applyAlignment="1">
      <alignment horizontal="right" vertical="center" wrapText="1"/>
      <protection/>
    </xf>
    <xf numFmtId="172" fontId="11" fillId="0" borderId="0" xfId="103" applyNumberFormat="1" applyFont="1" applyFill="1" applyBorder="1" applyAlignment="1">
      <alignment horizontal="right" vertical="center" wrapText="1"/>
      <protection/>
    </xf>
    <xf numFmtId="175" fontId="11" fillId="0" borderId="0" xfId="103" applyNumberFormat="1" applyFont="1" applyFill="1" applyBorder="1" applyAlignment="1">
      <alignment horizontal="right" vertical="center" wrapText="1"/>
      <protection/>
    </xf>
    <xf numFmtId="181" fontId="0" fillId="0" borderId="0" xfId="103" applyNumberFormat="1" applyFont="1" applyFill="1">
      <alignment/>
      <protection/>
    </xf>
    <xf numFmtId="192" fontId="142" fillId="0" borderId="15" xfId="16" applyNumberFormat="1" applyFont="1" applyFill="1" applyBorder="1" applyAlignment="1">
      <alignment vertical="center" wrapText="1"/>
      <protection/>
    </xf>
    <xf numFmtId="181" fontId="142" fillId="0" borderId="15" xfId="135" applyNumberFormat="1" applyFont="1" applyFill="1" applyBorder="1" applyAlignment="1">
      <alignment vertical="center" wrapText="1"/>
      <protection/>
    </xf>
    <xf numFmtId="181" fontId="142" fillId="0" borderId="15" xfId="138" applyNumberFormat="1" applyFont="1" applyFill="1" applyBorder="1" applyAlignment="1">
      <alignment vertical="center" wrapText="1"/>
      <protection/>
    </xf>
    <xf numFmtId="192" fontId="142" fillId="0" borderId="15" xfId="61" applyNumberFormat="1" applyFont="1" applyFill="1" applyBorder="1" applyAlignment="1">
      <alignment vertical="center" wrapText="1"/>
    </xf>
    <xf numFmtId="192" fontId="142" fillId="0" borderId="15" xfId="138" applyNumberFormat="1" applyFont="1" applyFill="1" applyBorder="1" applyAlignment="1">
      <alignment vertical="center" wrapText="1"/>
      <protection/>
    </xf>
    <xf numFmtId="181" fontId="142" fillId="0" borderId="15" xfId="0" applyNumberFormat="1" applyFont="1" applyFill="1" applyBorder="1" applyAlignment="1">
      <alignment vertical="center"/>
    </xf>
    <xf numFmtId="0" fontId="142" fillId="0" borderId="15" xfId="138" applyFont="1" applyFill="1" applyBorder="1" applyAlignment="1">
      <alignment vertical="center"/>
      <protection/>
    </xf>
    <xf numFmtId="169" fontId="142" fillId="0" borderId="15" xfId="138" applyNumberFormat="1" applyFont="1" applyFill="1" applyBorder="1" applyAlignment="1">
      <alignment vertical="center"/>
      <protection/>
    </xf>
    <xf numFmtId="169" fontId="142" fillId="0" borderId="15" xfId="138" applyNumberFormat="1" applyFont="1" applyFill="1" applyBorder="1" applyAlignment="1">
      <alignment vertical="center" wrapText="1"/>
      <protection/>
    </xf>
    <xf numFmtId="192" fontId="142" fillId="0" borderId="15" xfId="135" applyNumberFormat="1" applyFont="1" applyFill="1" applyBorder="1" applyAlignment="1">
      <alignment vertical="center" wrapText="1"/>
      <protection/>
    </xf>
    <xf numFmtId="169" fontId="142" fillId="0" borderId="15" xfId="135" applyNumberFormat="1" applyFont="1" applyFill="1" applyBorder="1" applyAlignment="1">
      <alignment vertical="center" wrapText="1"/>
      <protection/>
    </xf>
    <xf numFmtId="4" fontId="142" fillId="0" borderId="15" xfId="138" applyNumberFormat="1" applyFont="1" applyFill="1" applyBorder="1" applyAlignment="1">
      <alignment vertical="center" wrapText="1"/>
      <protection/>
    </xf>
    <xf numFmtId="0" fontId="142" fillId="0" borderId="15" xfId="138" applyFont="1" applyFill="1" applyBorder="1" applyAlignment="1">
      <alignment vertical="center" wrapText="1"/>
      <protection/>
    </xf>
    <xf numFmtId="181" fontId="142" fillId="0" borderId="15" xfId="132" applyNumberFormat="1" applyFont="1" applyFill="1" applyBorder="1" applyAlignment="1">
      <alignment vertical="center" wrapText="1"/>
      <protection/>
    </xf>
    <xf numFmtId="172" fontId="142" fillId="0" borderId="15" xfId="61" applyNumberFormat="1" applyFont="1" applyFill="1" applyBorder="1" applyAlignment="1">
      <alignment vertical="center" wrapText="1"/>
    </xf>
    <xf numFmtId="192" fontId="142" fillId="0" borderId="15" xfId="132" applyNumberFormat="1" applyFont="1" applyFill="1" applyBorder="1" applyAlignment="1">
      <alignment vertical="center" wrapText="1"/>
      <protection/>
    </xf>
    <xf numFmtId="4" fontId="142" fillId="0" borderId="15" xfId="135" applyNumberFormat="1" applyFont="1" applyFill="1" applyBorder="1" applyAlignment="1">
      <alignment vertical="center" wrapText="1"/>
      <protection/>
    </xf>
    <xf numFmtId="0" fontId="142" fillId="0" borderId="15" xfId="135" applyFont="1" applyFill="1" applyBorder="1" applyAlignment="1">
      <alignment vertical="center" wrapText="1"/>
      <protection/>
    </xf>
    <xf numFmtId="169" fontId="142" fillId="0" borderId="15" xfId="61" applyNumberFormat="1" applyFont="1" applyFill="1" applyBorder="1" applyAlignment="1">
      <alignment vertical="center" wrapText="1"/>
    </xf>
    <xf numFmtId="169" fontId="142" fillId="0" borderId="15" xfId="62" applyNumberFormat="1" applyFont="1" applyFill="1" applyBorder="1" applyAlignment="1">
      <alignment vertical="center" wrapText="1"/>
    </xf>
    <xf numFmtId="193" fontId="142" fillId="0" borderId="15" xfId="138" applyNumberFormat="1" applyFont="1" applyFill="1" applyBorder="1" applyAlignment="1">
      <alignment vertical="center" wrapText="1"/>
      <protection/>
    </xf>
    <xf numFmtId="169" fontId="142" fillId="0" borderId="15" xfId="132" applyNumberFormat="1" applyFont="1" applyFill="1" applyBorder="1" applyAlignment="1" quotePrefix="1">
      <alignment vertical="center" wrapText="1"/>
      <protection/>
    </xf>
    <xf numFmtId="164" fontId="142" fillId="0" borderId="15" xfId="135" applyNumberFormat="1" applyFont="1" applyFill="1" applyBorder="1" applyAlignment="1">
      <alignment vertical="center" wrapText="1"/>
      <protection/>
    </xf>
    <xf numFmtId="2" fontId="142" fillId="0" borderId="15" xfId="138" applyNumberFormat="1" applyFont="1" applyFill="1" applyBorder="1" applyAlignment="1">
      <alignment vertical="center" wrapText="1"/>
      <protection/>
    </xf>
    <xf numFmtId="1" fontId="142" fillId="0" borderId="15" xfId="138" applyNumberFormat="1" applyFont="1" applyFill="1" applyBorder="1" applyAlignment="1">
      <alignment vertical="center" wrapText="1"/>
      <protection/>
    </xf>
    <xf numFmtId="2" fontId="142" fillId="0" borderId="13" xfId="61" applyNumberFormat="1" applyFont="1" applyFill="1" applyBorder="1" applyAlignment="1">
      <alignment vertical="center" wrapText="1"/>
    </xf>
    <xf numFmtId="164" fontId="142" fillId="0" borderId="15" xfId="138" applyNumberFormat="1" applyFont="1" applyFill="1" applyBorder="1" applyAlignment="1">
      <alignment vertical="center" wrapText="1"/>
      <protection/>
    </xf>
    <xf numFmtId="2" fontId="142" fillId="0" borderId="15" xfId="138" applyNumberFormat="1" applyFont="1" applyFill="1" applyBorder="1" applyAlignment="1">
      <alignment horizontal="right" vertical="center" wrapText="1"/>
      <protection/>
    </xf>
    <xf numFmtId="188" fontId="142" fillId="0" borderId="15" xfId="73" applyNumberFormat="1" applyFont="1" applyFill="1" applyBorder="1" applyAlignment="1">
      <alignment horizontal="right" vertical="center" wrapText="1"/>
    </xf>
    <xf numFmtId="3" fontId="142" fillId="0" borderId="15" xfId="62" applyNumberFormat="1" applyFont="1" applyFill="1" applyBorder="1" applyAlignment="1">
      <alignment vertical="center" wrapText="1"/>
    </xf>
    <xf numFmtId="3" fontId="142" fillId="0" borderId="15" xfId="61" applyNumberFormat="1" applyFont="1" applyFill="1" applyBorder="1" applyAlignment="1">
      <alignment vertical="center" wrapText="1"/>
    </xf>
    <xf numFmtId="0" fontId="11" fillId="33" borderId="15" xfId="138" applyFont="1" applyFill="1" applyBorder="1" applyAlignment="1">
      <alignment horizontal="center" vertical="center"/>
      <protection/>
    </xf>
    <xf numFmtId="0" fontId="11" fillId="33" borderId="15" xfId="138" applyFont="1" applyFill="1" applyBorder="1" applyAlignment="1">
      <alignment horizontal="left" vertical="center" wrapText="1"/>
      <protection/>
    </xf>
    <xf numFmtId="0" fontId="11" fillId="33" borderId="15" xfId="138" applyFont="1" applyFill="1" applyBorder="1" applyAlignment="1">
      <alignment horizontal="center" vertical="center" wrapText="1"/>
      <protection/>
    </xf>
    <xf numFmtId="3" fontId="143" fillId="0" borderId="15" xfId="138" applyNumberFormat="1" applyFont="1" applyFill="1" applyBorder="1" applyAlignment="1">
      <alignment vertical="center" wrapText="1"/>
      <protection/>
    </xf>
    <xf numFmtId="181" fontId="143" fillId="0" borderId="15" xfId="138" applyNumberFormat="1" applyFont="1" applyFill="1" applyBorder="1" applyAlignment="1">
      <alignment vertical="center" wrapText="1"/>
      <protection/>
    </xf>
    <xf numFmtId="1" fontId="143" fillId="0" borderId="15" xfId="138" applyNumberFormat="1" applyFont="1" applyFill="1" applyBorder="1" applyAlignment="1">
      <alignment vertical="center" wrapText="1"/>
      <protection/>
    </xf>
    <xf numFmtId="0" fontId="59" fillId="0" borderId="0" xfId="103" applyFont="1">
      <alignment/>
      <protection/>
    </xf>
    <xf numFmtId="3" fontId="59" fillId="0" borderId="0" xfId="103" applyNumberFormat="1" applyFont="1">
      <alignment/>
      <protection/>
    </xf>
    <xf numFmtId="0" fontId="144" fillId="0" borderId="15" xfId="138" applyFont="1" applyFill="1" applyBorder="1" applyAlignment="1">
      <alignment vertical="center" wrapText="1"/>
      <protection/>
    </xf>
    <xf numFmtId="175" fontId="144" fillId="0" borderId="15" xfId="55" applyNumberFormat="1" applyFont="1" applyFill="1" applyBorder="1" applyAlignment="1">
      <alignment vertical="center" wrapText="1"/>
    </xf>
    <xf numFmtId="3" fontId="144" fillId="0" borderId="15" xfId="138" applyNumberFormat="1" applyFont="1" applyFill="1" applyBorder="1" applyAlignment="1">
      <alignment vertical="center" wrapText="1"/>
      <protection/>
    </xf>
    <xf numFmtId="43" fontId="144" fillId="0" borderId="15" xfId="73" applyFont="1" applyFill="1" applyBorder="1" applyAlignment="1">
      <alignment vertical="center" wrapText="1"/>
    </xf>
    <xf numFmtId="3" fontId="142" fillId="0" borderId="15" xfId="138" applyNumberFormat="1" applyFont="1" applyFill="1" applyBorder="1" applyAlignment="1">
      <alignment vertical="center" wrapText="1"/>
      <protection/>
    </xf>
    <xf numFmtId="0" fontId="143" fillId="0" borderId="15" xfId="138" applyFont="1" applyFill="1" applyBorder="1" applyAlignment="1">
      <alignment vertical="center" wrapText="1"/>
      <protection/>
    </xf>
    <xf numFmtId="3" fontId="143" fillId="0" borderId="15" xfId="62" applyNumberFormat="1" applyFont="1" applyFill="1" applyBorder="1" applyAlignment="1">
      <alignment vertical="center" wrapText="1"/>
    </xf>
    <xf numFmtId="0" fontId="58" fillId="33" borderId="15" xfId="138" applyFont="1" applyFill="1" applyBorder="1" applyAlignment="1">
      <alignment horizontal="center" vertical="center"/>
      <protection/>
    </xf>
    <xf numFmtId="0" fontId="58" fillId="33" borderId="15" xfId="138" applyFont="1" applyFill="1" applyBorder="1" applyAlignment="1">
      <alignment horizontal="left" vertical="center" wrapText="1"/>
      <protection/>
    </xf>
    <xf numFmtId="0" fontId="58" fillId="33" borderId="15" xfId="138" applyFont="1" applyFill="1" applyBorder="1" applyAlignment="1">
      <alignment horizontal="center" vertical="center" wrapText="1"/>
      <protection/>
    </xf>
    <xf numFmtId="3" fontId="144" fillId="0" borderId="15" xfId="62" applyNumberFormat="1" applyFont="1" applyFill="1" applyBorder="1" applyAlignment="1">
      <alignment vertical="center" wrapText="1"/>
    </xf>
    <xf numFmtId="181" fontId="144" fillId="0" borderId="15" xfId="138" applyNumberFormat="1" applyFont="1" applyFill="1" applyBorder="1" applyAlignment="1">
      <alignment vertical="center" wrapText="1"/>
      <protection/>
    </xf>
    <xf numFmtId="0" fontId="66" fillId="0" borderId="0" xfId="103" applyFont="1">
      <alignment/>
      <protection/>
    </xf>
    <xf numFmtId="3" fontId="66" fillId="0" borderId="0" xfId="103" applyNumberFormat="1" applyFont="1">
      <alignment/>
      <protection/>
    </xf>
    <xf numFmtId="192" fontId="144" fillId="0" borderId="15" xfId="138" applyNumberFormat="1" applyFont="1" applyFill="1" applyBorder="1" applyAlignment="1">
      <alignment vertical="center" wrapText="1"/>
      <protection/>
    </xf>
    <xf numFmtId="172" fontId="144" fillId="0" borderId="15" xfId="135" applyNumberFormat="1" applyFont="1" applyFill="1" applyBorder="1" applyAlignment="1">
      <alignment vertical="center" wrapText="1"/>
      <protection/>
    </xf>
    <xf numFmtId="0" fontId="143" fillId="0" borderId="15" xfId="134" applyFont="1" applyFill="1" applyBorder="1" applyAlignment="1">
      <alignment vertical="center" wrapText="1"/>
      <protection/>
    </xf>
    <xf numFmtId="0" fontId="142" fillId="0" borderId="15" xfId="138" applyFont="1" applyFill="1" applyBorder="1" applyAlignment="1">
      <alignment vertical="center" wrapText="1"/>
      <protection/>
    </xf>
    <xf numFmtId="0" fontId="142" fillId="0" borderId="15" xfId="135" applyFont="1" applyFill="1" applyBorder="1" applyAlignment="1">
      <alignment vertical="center" wrapText="1"/>
      <protection/>
    </xf>
    <xf numFmtId="1" fontId="142" fillId="0" borderId="15" xfId="138" applyNumberFormat="1" applyFont="1" applyFill="1" applyBorder="1" applyAlignment="1">
      <alignment vertical="center" wrapText="1"/>
      <protection/>
    </xf>
    <xf numFmtId="181" fontId="142" fillId="0" borderId="15" xfId="138" applyNumberFormat="1" applyFont="1" applyFill="1" applyBorder="1" applyAlignment="1">
      <alignment vertical="center" wrapText="1"/>
      <protection/>
    </xf>
    <xf numFmtId="194" fontId="143" fillId="0" borderId="15" xfId="138" applyNumberFormat="1" applyFont="1" applyFill="1" applyBorder="1" applyAlignment="1">
      <alignment vertical="center" wrapText="1"/>
      <protection/>
    </xf>
    <xf numFmtId="193" fontId="143" fillId="0" borderId="15" xfId="138" applyNumberFormat="1" applyFont="1" applyFill="1" applyBorder="1" applyAlignment="1">
      <alignment vertical="center" wrapText="1"/>
      <protection/>
    </xf>
    <xf numFmtId="0" fontId="143" fillId="0" borderId="15" xfId="103" applyFont="1" applyFill="1" applyBorder="1" applyAlignment="1">
      <alignment vertical="center"/>
      <protection/>
    </xf>
    <xf numFmtId="0" fontId="142" fillId="0" borderId="15" xfId="103" applyFont="1" applyFill="1" applyBorder="1" applyAlignment="1">
      <alignment vertical="center"/>
      <protection/>
    </xf>
    <xf numFmtId="1" fontId="143" fillId="0" borderId="15" xfId="103" applyNumberFormat="1" applyFont="1" applyFill="1" applyBorder="1" applyAlignment="1">
      <alignment vertical="center"/>
      <protection/>
    </xf>
    <xf numFmtId="1" fontId="142" fillId="0" borderId="15" xfId="103" applyNumberFormat="1" applyFont="1" applyFill="1" applyBorder="1" applyAlignment="1">
      <alignment vertical="center"/>
      <protection/>
    </xf>
    <xf numFmtId="175" fontId="142" fillId="0" borderId="15" xfId="138" applyNumberFormat="1" applyFont="1" applyFill="1" applyBorder="1" applyAlignment="1">
      <alignment vertical="center" wrapText="1"/>
      <protection/>
    </xf>
    <xf numFmtId="175" fontId="142" fillId="0" borderId="15" xfId="62" applyNumberFormat="1" applyFont="1" applyFill="1" applyBorder="1" applyAlignment="1">
      <alignment vertical="center" wrapText="1"/>
    </xf>
    <xf numFmtId="172" fontId="142" fillId="0" borderId="15" xfId="62" applyNumberFormat="1" applyFont="1" applyFill="1" applyBorder="1" applyAlignment="1">
      <alignment vertical="center" wrapText="1"/>
    </xf>
    <xf numFmtId="184" fontId="143" fillId="0" borderId="15" xfId="62" applyNumberFormat="1" applyFont="1" applyFill="1" applyBorder="1" applyAlignment="1">
      <alignment vertical="center"/>
    </xf>
    <xf numFmtId="1" fontId="142" fillId="0" borderId="15" xfId="62" applyNumberFormat="1" applyFont="1" applyFill="1" applyBorder="1" applyAlignment="1">
      <alignment vertical="center"/>
    </xf>
    <xf numFmtId="169" fontId="142" fillId="0" borderId="15" xfId="134" applyNumberFormat="1" applyFont="1" applyFill="1" applyBorder="1" applyAlignment="1">
      <alignment vertical="center" wrapText="1"/>
      <protection/>
    </xf>
    <xf numFmtId="3" fontId="142" fillId="0" borderId="15" xfId="134" applyNumberFormat="1" applyFont="1" applyFill="1" applyBorder="1" applyAlignment="1">
      <alignment vertical="center" wrapText="1"/>
      <protection/>
    </xf>
    <xf numFmtId="1" fontId="142" fillId="0" borderId="15" xfId="135" applyNumberFormat="1" applyFont="1" applyFill="1" applyBorder="1" applyAlignment="1">
      <alignment vertical="center" wrapText="1"/>
      <protection/>
    </xf>
    <xf numFmtId="173" fontId="142" fillId="0" borderId="15" xfId="62" applyFont="1" applyFill="1" applyBorder="1" applyAlignment="1">
      <alignment vertical="center" wrapText="1"/>
    </xf>
    <xf numFmtId="194" fontId="142" fillId="0" borderId="15" xfId="138" applyNumberFormat="1" applyFont="1" applyFill="1" applyBorder="1" applyAlignment="1">
      <alignment vertical="center" wrapText="1"/>
      <protection/>
    </xf>
    <xf numFmtId="38" fontId="142" fillId="0" borderId="15" xfId="62" applyNumberFormat="1" applyFont="1" applyFill="1" applyBorder="1" applyAlignment="1">
      <alignment vertical="center" wrapText="1"/>
    </xf>
    <xf numFmtId="38" fontId="142" fillId="0" borderId="15" xfId="135" applyNumberFormat="1" applyFont="1" applyFill="1" applyBorder="1" applyAlignment="1">
      <alignment vertical="center" wrapText="1"/>
      <protection/>
    </xf>
    <xf numFmtId="38" fontId="142" fillId="0" borderId="15" xfId="138" applyNumberFormat="1" applyFont="1" applyFill="1" applyBorder="1" applyAlignment="1">
      <alignment vertical="center" wrapText="1"/>
      <protection/>
    </xf>
    <xf numFmtId="175" fontId="142" fillId="0" borderId="15" xfId="62" applyNumberFormat="1" applyFont="1" applyFill="1" applyBorder="1" applyAlignment="1">
      <alignment horizontal="right" vertical="center" wrapText="1"/>
    </xf>
    <xf numFmtId="172" fontId="142" fillId="0" borderId="15" xfId="62" applyNumberFormat="1" applyFont="1" applyFill="1" applyBorder="1" applyAlignment="1">
      <alignment horizontal="right" vertical="center" wrapText="1"/>
    </xf>
    <xf numFmtId="175" fontId="143" fillId="0" borderId="15" xfId="55" applyNumberFormat="1" applyFont="1" applyFill="1" applyBorder="1" applyAlignment="1">
      <alignment vertical="center" wrapText="1"/>
    </xf>
    <xf numFmtId="175" fontId="142" fillId="0" borderId="15" xfId="55" applyNumberFormat="1" applyFont="1" applyFill="1" applyBorder="1" applyAlignment="1">
      <alignment vertical="center" wrapText="1"/>
    </xf>
    <xf numFmtId="193" fontId="142" fillId="0" borderId="15" xfId="132" applyNumberFormat="1" applyFont="1" applyFill="1" applyBorder="1" applyAlignment="1">
      <alignment vertical="center" wrapText="1"/>
      <protection/>
    </xf>
    <xf numFmtId="0" fontId="142" fillId="0" borderId="15" xfId="132" applyFont="1" applyFill="1" applyBorder="1" applyAlignment="1">
      <alignment vertical="center" wrapText="1"/>
      <protection/>
    </xf>
    <xf numFmtId="2" fontId="142" fillId="0" borderId="15" xfId="135" applyNumberFormat="1" applyFont="1" applyFill="1" applyBorder="1" applyAlignment="1">
      <alignment vertical="center" wrapText="1"/>
      <protection/>
    </xf>
    <xf numFmtId="4" fontId="142" fillId="0" borderId="15" xfId="132" applyNumberFormat="1" applyFont="1" applyFill="1" applyBorder="1" applyAlignment="1">
      <alignment vertical="center" wrapText="1"/>
      <protection/>
    </xf>
    <xf numFmtId="0" fontId="12" fillId="33" borderId="15" xfId="138" applyFont="1" applyFill="1" applyBorder="1" applyAlignment="1">
      <alignment horizontal="center" vertical="center"/>
      <protection/>
    </xf>
    <xf numFmtId="0" fontId="12" fillId="33" borderId="15" xfId="138" applyFont="1" applyFill="1" applyBorder="1" applyAlignment="1">
      <alignment horizontal="left" vertical="center" wrapText="1"/>
      <protection/>
    </xf>
    <xf numFmtId="0" fontId="12" fillId="33" borderId="15" xfId="138" applyFont="1" applyFill="1" applyBorder="1" applyAlignment="1">
      <alignment horizontal="center" vertical="center" wrapText="1"/>
      <protection/>
    </xf>
    <xf numFmtId="3" fontId="142" fillId="0" borderId="15" xfId="135" applyNumberFormat="1" applyFont="1" applyFill="1" applyBorder="1" applyAlignment="1">
      <alignment vertical="center" wrapText="1"/>
      <protection/>
    </xf>
    <xf numFmtId="0" fontId="54" fillId="0" borderId="0" xfId="103" applyFont="1">
      <alignment/>
      <protection/>
    </xf>
    <xf numFmtId="3" fontId="54" fillId="0" borderId="0" xfId="103" applyNumberFormat="1" applyFont="1">
      <alignment/>
      <protection/>
    </xf>
    <xf numFmtId="3" fontId="142" fillId="0" borderId="15" xfId="0" applyNumberFormat="1" applyFont="1" applyFill="1" applyBorder="1" applyAlignment="1">
      <alignment vertical="center"/>
    </xf>
    <xf numFmtId="3" fontId="142" fillId="0" borderId="15" xfId="132" applyNumberFormat="1" applyFont="1" applyFill="1" applyBorder="1" applyAlignment="1">
      <alignment vertical="center" wrapText="1"/>
      <protection/>
    </xf>
    <xf numFmtId="0" fontId="142" fillId="0" borderId="15" xfId="135" applyNumberFormat="1" applyFont="1" applyFill="1" applyBorder="1" applyAlignment="1">
      <alignment vertical="center" wrapText="1"/>
      <protection/>
    </xf>
    <xf numFmtId="192" fontId="143" fillId="0" borderId="15" xfId="62" applyNumberFormat="1" applyFont="1" applyFill="1" applyBorder="1" applyAlignment="1">
      <alignment vertical="center" wrapText="1"/>
    </xf>
    <xf numFmtId="192" fontId="142" fillId="0" borderId="15" xfId="62" applyNumberFormat="1" applyFont="1" applyFill="1" applyBorder="1" applyAlignment="1">
      <alignment vertical="center" wrapText="1"/>
    </xf>
    <xf numFmtId="194" fontId="142" fillId="0" borderId="15" xfId="61" applyNumberFormat="1" applyFont="1" applyFill="1" applyBorder="1" applyAlignment="1">
      <alignment vertical="center" wrapText="1"/>
    </xf>
    <xf numFmtId="192" fontId="142" fillId="0" borderId="15" xfId="62" applyNumberFormat="1" applyFont="1" applyFill="1" applyBorder="1" applyAlignment="1">
      <alignment horizontal="right" vertical="center" wrapText="1"/>
    </xf>
    <xf numFmtId="175" fontId="142" fillId="0" borderId="15" xfId="61" applyNumberFormat="1" applyFont="1" applyFill="1" applyBorder="1" applyAlignment="1">
      <alignment vertical="center" wrapText="1"/>
    </xf>
    <xf numFmtId="0" fontId="11" fillId="0" borderId="22" xfId="103" applyFont="1" applyFill="1" applyBorder="1" applyAlignment="1" applyProtection="1">
      <alignment vertical="center" wrapText="1"/>
      <protection/>
    </xf>
    <xf numFmtId="0" fontId="11" fillId="0" borderId="13" xfId="103" applyFont="1" applyFill="1" applyBorder="1" applyAlignment="1" applyProtection="1">
      <alignment vertical="center" wrapText="1"/>
      <protection/>
    </xf>
    <xf numFmtId="3" fontId="12" fillId="0" borderId="13" xfId="103" applyNumberFormat="1" applyFont="1" applyFill="1" applyBorder="1" applyAlignment="1">
      <alignment vertical="center"/>
      <protection/>
    </xf>
    <xf numFmtId="169" fontId="12" fillId="0" borderId="13" xfId="103" applyNumberFormat="1" applyFont="1" applyFill="1" applyBorder="1" applyAlignment="1">
      <alignment vertical="center"/>
      <protection/>
    </xf>
    <xf numFmtId="4" fontId="58" fillId="0" borderId="13" xfId="103" applyNumberFormat="1" applyFont="1" applyFill="1" applyBorder="1" applyAlignment="1">
      <alignment vertical="center"/>
      <protection/>
    </xf>
    <xf numFmtId="169" fontId="58" fillId="0" borderId="13" xfId="103" applyNumberFormat="1" applyFont="1" applyFill="1" applyBorder="1" applyAlignment="1" applyProtection="1">
      <alignment vertical="center" wrapText="1"/>
      <protection/>
    </xf>
    <xf numFmtId="169" fontId="58" fillId="0" borderId="13" xfId="103" applyNumberFormat="1" applyFont="1" applyFill="1" applyBorder="1" applyAlignment="1">
      <alignment vertical="center"/>
      <protection/>
    </xf>
    <xf numFmtId="1" fontId="58" fillId="0" borderId="13" xfId="103" applyNumberFormat="1" applyFont="1" applyFill="1" applyBorder="1" applyAlignment="1">
      <alignment vertical="center"/>
      <protection/>
    </xf>
    <xf numFmtId="3" fontId="12" fillId="0" borderId="13" xfId="103" applyNumberFormat="1" applyFont="1" applyFill="1" applyBorder="1" applyAlignment="1" applyProtection="1">
      <alignment vertical="center" wrapText="1"/>
      <protection/>
    </xf>
    <xf numFmtId="3" fontId="11" fillId="0" borderId="13" xfId="103" applyNumberFormat="1" applyFont="1" applyFill="1" applyBorder="1" applyAlignment="1">
      <alignment vertical="center"/>
      <protection/>
    </xf>
    <xf numFmtId="3" fontId="80" fillId="0" borderId="13" xfId="103" applyNumberFormat="1" applyFont="1" applyFill="1" applyBorder="1" applyAlignment="1" applyProtection="1">
      <alignment vertical="center" wrapText="1"/>
      <protection/>
    </xf>
    <xf numFmtId="169" fontId="11" fillId="0" borderId="13" xfId="103" applyNumberFormat="1" applyFont="1" applyFill="1" applyBorder="1" applyAlignment="1">
      <alignment vertical="center"/>
      <protection/>
    </xf>
    <xf numFmtId="3" fontId="58" fillId="0" borderId="13" xfId="103" applyNumberFormat="1" applyFont="1" applyFill="1" applyBorder="1" applyAlignment="1" applyProtection="1">
      <alignment vertical="center" wrapText="1"/>
      <protection/>
    </xf>
    <xf numFmtId="1" fontId="58" fillId="0" borderId="13" xfId="103" applyNumberFormat="1" applyFont="1" applyFill="1" applyBorder="1" applyAlignment="1" applyProtection="1">
      <alignment vertical="center" wrapText="1"/>
      <protection/>
    </xf>
    <xf numFmtId="0" fontId="58" fillId="0" borderId="13" xfId="103" applyNumberFormat="1" applyFont="1" applyFill="1" applyBorder="1" applyAlignment="1" applyProtection="1">
      <alignment vertical="center" wrapText="1"/>
      <protection/>
    </xf>
    <xf numFmtId="3" fontId="12" fillId="0" borderId="13" xfId="103" applyNumberFormat="1" applyFont="1" applyFill="1" applyBorder="1" applyAlignment="1">
      <alignment vertical="center" wrapText="1"/>
      <protection/>
    </xf>
    <xf numFmtId="3" fontId="58" fillId="0" borderId="13" xfId="103" applyNumberFormat="1" applyFont="1" applyFill="1" applyBorder="1" applyAlignment="1">
      <alignment vertical="center"/>
      <protection/>
    </xf>
    <xf numFmtId="4" fontId="12" fillId="0" borderId="13" xfId="103" applyNumberFormat="1" applyFont="1" applyFill="1" applyBorder="1" applyAlignment="1">
      <alignment vertical="center"/>
      <protection/>
    </xf>
    <xf numFmtId="0" fontId="12" fillId="0" borderId="13" xfId="103" applyFont="1" applyFill="1" applyBorder="1" applyAlignment="1" applyProtection="1">
      <alignment vertical="center" wrapText="1"/>
      <protection/>
    </xf>
    <xf numFmtId="1" fontId="12" fillId="0" borderId="13" xfId="103" applyNumberFormat="1" applyFont="1" applyFill="1" applyBorder="1" applyAlignment="1" applyProtection="1">
      <alignment vertical="center" wrapText="1"/>
      <protection/>
    </xf>
    <xf numFmtId="2" fontId="58" fillId="0" borderId="13" xfId="103" applyNumberFormat="1" applyFont="1" applyFill="1" applyBorder="1" applyAlignment="1" applyProtection="1">
      <alignment horizontal="left" vertical="center" wrapText="1"/>
      <protection/>
    </xf>
    <xf numFmtId="0" fontId="65" fillId="0" borderId="13" xfId="103" applyFont="1" applyFill="1" applyBorder="1" applyAlignment="1" applyProtection="1">
      <alignment horizontal="center" vertical="center" wrapText="1"/>
      <protection/>
    </xf>
    <xf numFmtId="181" fontId="58" fillId="0" borderId="13" xfId="103" applyNumberFormat="1" applyFont="1" applyFill="1" applyBorder="1" applyAlignment="1" applyProtection="1">
      <alignment vertical="center" wrapText="1"/>
      <protection/>
    </xf>
    <xf numFmtId="2" fontId="58" fillId="0" borderId="13" xfId="103" applyNumberFormat="1" applyFont="1" applyFill="1" applyBorder="1" applyAlignment="1" applyProtection="1">
      <alignment vertical="center" wrapText="1"/>
      <protection/>
    </xf>
    <xf numFmtId="2" fontId="58" fillId="0" borderId="13" xfId="103" applyNumberFormat="1" applyFont="1" applyFill="1" applyBorder="1" applyAlignment="1" applyProtection="1">
      <alignment vertical="center" wrapText="1"/>
      <protection/>
    </xf>
    <xf numFmtId="181" fontId="12" fillId="0" borderId="13" xfId="103" applyNumberFormat="1" applyFont="1" applyFill="1" applyBorder="1" applyAlignment="1" applyProtection="1">
      <alignment vertical="center" wrapText="1"/>
      <protection/>
    </xf>
    <xf numFmtId="3" fontId="11" fillId="0" borderId="13" xfId="103" applyNumberFormat="1" applyFont="1" applyFill="1" applyBorder="1" applyAlignment="1" applyProtection="1">
      <alignment vertical="center" wrapText="1"/>
      <protection/>
    </xf>
    <xf numFmtId="3" fontId="145" fillId="0" borderId="13" xfId="103" applyNumberFormat="1" applyFont="1" applyFill="1" applyBorder="1" applyAlignment="1" applyProtection="1">
      <alignment vertical="center" wrapText="1"/>
      <protection/>
    </xf>
    <xf numFmtId="3" fontId="12" fillId="0" borderId="13" xfId="103" applyNumberFormat="1" applyFont="1" applyFill="1" applyBorder="1" applyAlignment="1" applyProtection="1">
      <alignment vertical="center"/>
      <protection/>
    </xf>
    <xf numFmtId="0" fontId="12" fillId="0" borderId="13" xfId="103" applyFont="1" applyFill="1" applyBorder="1" applyAlignment="1" applyProtection="1">
      <alignment vertical="center"/>
      <protection/>
    </xf>
    <xf numFmtId="0" fontId="12" fillId="0" borderId="16" xfId="115" applyFont="1" applyFill="1" applyBorder="1" applyAlignment="1">
      <alignment vertical="center" wrapText="1"/>
      <protection/>
    </xf>
    <xf numFmtId="0" fontId="12" fillId="0" borderId="16" xfId="115" applyFont="1" applyFill="1" applyBorder="1" applyAlignment="1">
      <alignment vertical="center"/>
      <protection/>
    </xf>
    <xf numFmtId="1" fontId="10" fillId="0" borderId="13" xfId="103" applyNumberFormat="1" applyFont="1" applyFill="1" applyBorder="1" applyAlignment="1" applyProtection="1">
      <alignment vertical="center" wrapText="1"/>
      <protection/>
    </xf>
    <xf numFmtId="1" fontId="81" fillId="0" borderId="23" xfId="103" applyNumberFormat="1" applyFont="1" applyFill="1" applyBorder="1" applyAlignment="1" applyProtection="1">
      <alignment vertical="center" wrapText="1"/>
      <protection/>
    </xf>
    <xf numFmtId="1" fontId="58" fillId="0" borderId="23" xfId="103" applyNumberFormat="1" applyFont="1" applyFill="1" applyBorder="1" applyAlignment="1" applyProtection="1">
      <alignment vertical="center" wrapText="1"/>
      <protection/>
    </xf>
    <xf numFmtId="3" fontId="58" fillId="0" borderId="23" xfId="103" applyNumberFormat="1" applyFont="1" applyFill="1" applyBorder="1" applyAlignment="1" applyProtection="1">
      <alignment vertical="center" wrapText="1"/>
      <protection/>
    </xf>
    <xf numFmtId="0" fontId="10" fillId="0" borderId="13" xfId="103" applyFont="1" applyFill="1" applyBorder="1" applyAlignment="1" applyProtection="1">
      <alignment vertical="center" wrapText="1"/>
      <protection/>
    </xf>
    <xf numFmtId="0" fontId="81" fillId="0" borderId="18" xfId="103" applyFont="1" applyFill="1" applyBorder="1" applyAlignment="1" applyProtection="1">
      <alignment vertical="center"/>
      <protection/>
    </xf>
    <xf numFmtId="0" fontId="58" fillId="0" borderId="18" xfId="103" applyFont="1" applyFill="1" applyBorder="1" applyAlignment="1" applyProtection="1">
      <alignment vertical="center" wrapText="1"/>
      <protection/>
    </xf>
    <xf numFmtId="3" fontId="58" fillId="0" borderId="18" xfId="103" applyNumberFormat="1" applyFont="1" applyFill="1" applyBorder="1" applyAlignment="1" applyProtection="1">
      <alignment vertical="center" wrapText="1"/>
      <protection/>
    </xf>
    <xf numFmtId="4" fontId="5" fillId="0" borderId="15" xfId="52" applyNumberFormat="1" applyFont="1" applyFill="1" applyBorder="1" applyAlignment="1">
      <alignment horizontal="right" vertical="center" wrapText="1"/>
    </xf>
    <xf numFmtId="4" fontId="0" fillId="0" borderId="15" xfId="52" applyNumberFormat="1" applyFont="1" applyFill="1" applyBorder="1" applyAlignment="1">
      <alignment horizontal="right" vertical="center" wrapText="1"/>
    </xf>
    <xf numFmtId="4" fontId="0" fillId="0" borderId="15" xfId="52" applyNumberFormat="1" applyFont="1" applyFill="1" applyBorder="1" applyAlignment="1">
      <alignment horizontal="right" vertical="center"/>
    </xf>
    <xf numFmtId="169" fontId="0" fillId="0" borderId="15" xfId="52" applyNumberFormat="1" applyFont="1" applyFill="1" applyBorder="1" applyAlignment="1">
      <alignment horizontal="right" vertical="center"/>
    </xf>
    <xf numFmtId="4" fontId="5" fillId="0" borderId="15" xfId="52" applyNumberFormat="1" applyFont="1" applyFill="1" applyBorder="1" applyAlignment="1">
      <alignment horizontal="right" vertical="center"/>
    </xf>
    <xf numFmtId="0" fontId="0" fillId="0" borderId="0" xfId="114" applyFont="1">
      <alignment/>
      <protection/>
    </xf>
    <xf numFmtId="0" fontId="82" fillId="0" borderId="0" xfId="121" applyFont="1" applyFill="1" applyBorder="1" applyAlignment="1">
      <alignment vertical="center"/>
      <protection/>
    </xf>
    <xf numFmtId="175" fontId="64" fillId="0" borderId="15" xfId="71" applyNumberFormat="1" applyFont="1" applyFill="1" applyBorder="1" applyAlignment="1">
      <alignment horizontal="center" vertical="center" wrapText="1"/>
    </xf>
    <xf numFmtId="0" fontId="60" fillId="0" borderId="15" xfId="121" applyFont="1" applyFill="1" applyBorder="1" applyAlignment="1">
      <alignment horizontal="center" vertical="center" wrapText="1"/>
      <protection/>
    </xf>
    <xf numFmtId="0" fontId="60" fillId="0" borderId="15" xfId="121" applyFont="1" applyFill="1" applyBorder="1" applyAlignment="1">
      <alignment horizontal="right" vertical="center" wrapText="1"/>
      <protection/>
    </xf>
    <xf numFmtId="0" fontId="60" fillId="33" borderId="15" xfId="121" applyFont="1" applyFill="1" applyBorder="1" applyAlignment="1">
      <alignment horizontal="right" vertical="center" wrapText="1"/>
      <protection/>
    </xf>
    <xf numFmtId="43" fontId="60" fillId="0" borderId="15" xfId="52" applyFont="1" applyFill="1" applyBorder="1" applyAlignment="1">
      <alignment horizontal="center" vertical="center" wrapText="1"/>
    </xf>
    <xf numFmtId="0" fontId="64" fillId="0" borderId="15" xfId="121" applyFont="1" applyFill="1" applyBorder="1" applyAlignment="1">
      <alignment horizontal="center" vertical="center" wrapText="1"/>
      <protection/>
    </xf>
    <xf numFmtId="0" fontId="64" fillId="0" borderId="15" xfId="121" applyFont="1" applyFill="1" applyBorder="1" applyAlignment="1">
      <alignment wrapText="1"/>
      <protection/>
    </xf>
    <xf numFmtId="175" fontId="60" fillId="0" borderId="15" xfId="71" applyNumberFormat="1" applyFont="1" applyFill="1" applyBorder="1" applyAlignment="1">
      <alignment horizontal="center" vertical="center" wrapText="1"/>
    </xf>
    <xf numFmtId="175" fontId="60" fillId="0" borderId="15" xfId="72" applyNumberFormat="1" applyFont="1" applyFill="1" applyBorder="1" applyAlignment="1">
      <alignment horizontal="right" vertical="center" wrapText="1"/>
    </xf>
    <xf numFmtId="175" fontId="60" fillId="33" borderId="15" xfId="72" applyNumberFormat="1" applyFont="1" applyFill="1" applyBorder="1" applyAlignment="1">
      <alignment horizontal="right" vertical="center" wrapText="1"/>
    </xf>
    <xf numFmtId="0" fontId="60" fillId="0" borderId="15" xfId="121" applyFont="1" applyFill="1" applyBorder="1" applyAlignment="1">
      <alignment horizontal="right" wrapText="1"/>
      <protection/>
    </xf>
    <xf numFmtId="43" fontId="60" fillId="0" borderId="15" xfId="52" applyFont="1" applyFill="1" applyBorder="1" applyAlignment="1">
      <alignment horizontal="center" wrapText="1"/>
    </xf>
    <xf numFmtId="0" fontId="60" fillId="0" borderId="15" xfId="121" applyFont="1" applyFill="1" applyBorder="1" applyAlignment="1">
      <alignment wrapText="1"/>
      <protection/>
    </xf>
    <xf numFmtId="181" fontId="60" fillId="0" borderId="15" xfId="148" applyNumberFormat="1" applyFont="1" applyFill="1" applyBorder="1" applyAlignment="1">
      <alignment horizontal="right" vertical="center" wrapText="1"/>
    </xf>
    <xf numFmtId="2" fontId="60" fillId="0" borderId="15" xfId="148" applyNumberFormat="1" applyFont="1" applyFill="1" applyBorder="1" applyAlignment="1">
      <alignment horizontal="right" vertical="center" wrapText="1"/>
    </xf>
    <xf numFmtId="1" fontId="60" fillId="0" borderId="15" xfId="121" applyNumberFormat="1" applyFont="1" applyFill="1" applyBorder="1" applyAlignment="1">
      <alignment horizontal="center" vertical="center" wrapText="1"/>
      <protection/>
    </xf>
    <xf numFmtId="2" fontId="60" fillId="0" borderId="15" xfId="121" applyNumberFormat="1" applyFont="1" applyFill="1" applyBorder="1" applyAlignment="1">
      <alignment horizontal="left" wrapText="1"/>
      <protection/>
    </xf>
    <xf numFmtId="2" fontId="60" fillId="0" borderId="15" xfId="71" applyNumberFormat="1" applyFont="1" applyFill="1" applyBorder="1" applyAlignment="1">
      <alignment horizontal="center" vertical="center" wrapText="1"/>
    </xf>
    <xf numFmtId="2" fontId="60" fillId="0" borderId="15" xfId="72" applyNumberFormat="1" applyFont="1" applyFill="1" applyBorder="1" applyAlignment="1">
      <alignment horizontal="right" vertical="center" wrapText="1"/>
    </xf>
    <xf numFmtId="2" fontId="60" fillId="33" borderId="15" xfId="72" applyNumberFormat="1" applyFont="1" applyFill="1" applyBorder="1" applyAlignment="1">
      <alignment horizontal="right" vertical="center" wrapText="1"/>
    </xf>
    <xf numFmtId="172" fontId="60" fillId="0" borderId="15" xfId="72" applyNumberFormat="1" applyFont="1" applyFill="1" applyBorder="1" applyAlignment="1">
      <alignment horizontal="right" vertical="center" wrapText="1"/>
    </xf>
    <xf numFmtId="172" fontId="60" fillId="33" borderId="15" xfId="72" applyNumberFormat="1" applyFont="1" applyFill="1" applyBorder="1" applyAlignment="1">
      <alignment horizontal="right" vertical="center" wrapText="1"/>
    </xf>
    <xf numFmtId="0" fontId="60" fillId="0" borderId="15" xfId="119" applyFont="1" applyFill="1" applyBorder="1" applyAlignment="1">
      <alignment horizontal="right" wrapText="1"/>
      <protection/>
    </xf>
    <xf numFmtId="178" fontId="0" fillId="0" borderId="0" xfId="114" applyNumberFormat="1" applyFont="1">
      <alignment/>
      <protection/>
    </xf>
    <xf numFmtId="2" fontId="60" fillId="33" borderId="15" xfId="148" applyNumberFormat="1" applyFont="1" applyFill="1" applyBorder="1" applyAlignment="1">
      <alignment horizontal="right" vertical="center" wrapText="1"/>
    </xf>
    <xf numFmtId="185" fontId="60" fillId="0" borderId="15" xfId="148" applyNumberFormat="1" applyFont="1" applyFill="1" applyBorder="1" applyAlignment="1">
      <alignment horizontal="right" vertical="center" wrapText="1"/>
    </xf>
    <xf numFmtId="9" fontId="60" fillId="0" borderId="15" xfId="148" applyFont="1" applyFill="1" applyBorder="1" applyAlignment="1">
      <alignment horizontal="right" vertical="center" wrapText="1"/>
    </xf>
    <xf numFmtId="175" fontId="12" fillId="0" borderId="15" xfId="65" applyNumberFormat="1" applyFont="1" applyFill="1" applyBorder="1" applyAlignment="1">
      <alignment horizontal="right" vertical="center"/>
    </xf>
    <xf numFmtId="172" fontId="12" fillId="0" borderId="15" xfId="65" applyNumberFormat="1" applyFont="1" applyFill="1" applyBorder="1" applyAlignment="1">
      <alignment horizontal="right" vertical="center"/>
    </xf>
    <xf numFmtId="175" fontId="12" fillId="33" borderId="15" xfId="65" applyNumberFormat="1" applyFont="1" applyFill="1" applyBorder="1" applyAlignment="1">
      <alignment horizontal="right" vertical="center"/>
    </xf>
    <xf numFmtId="178" fontId="12" fillId="0" borderId="15" xfId="65" applyNumberFormat="1" applyFont="1" applyFill="1" applyBorder="1" applyAlignment="1">
      <alignment horizontal="right" vertical="center"/>
    </xf>
    <xf numFmtId="178" fontId="60" fillId="33" borderId="15" xfId="72" applyNumberFormat="1" applyFont="1" applyFill="1" applyBorder="1" applyAlignment="1">
      <alignment horizontal="right" vertical="center" wrapText="1"/>
    </xf>
    <xf numFmtId="178" fontId="60" fillId="0" borderId="15" xfId="72" applyNumberFormat="1" applyFont="1" applyFill="1" applyBorder="1" applyAlignment="1">
      <alignment horizontal="right" vertical="center" wrapText="1"/>
    </xf>
    <xf numFmtId="0" fontId="60" fillId="0" borderId="15" xfId="121" applyFont="1" applyFill="1" applyBorder="1" applyAlignment="1">
      <alignment vertical="center" wrapText="1"/>
      <protection/>
    </xf>
    <xf numFmtId="0" fontId="12" fillId="0" borderId="0" xfId="121" applyFont="1" applyFill="1" applyBorder="1" applyAlignment="1">
      <alignment horizontal="right" vertical="center"/>
      <protection/>
    </xf>
    <xf numFmtId="3" fontId="60" fillId="0" borderId="15" xfId="119" applyNumberFormat="1" applyFont="1" applyFill="1" applyBorder="1" applyAlignment="1">
      <alignment horizontal="right" vertical="center" wrapText="1"/>
      <protection/>
    </xf>
    <xf numFmtId="0" fontId="60" fillId="0" borderId="15" xfId="121" applyFont="1" applyFill="1" applyBorder="1" applyAlignment="1">
      <alignment horizontal="left" vertical="center" wrapText="1"/>
      <protection/>
    </xf>
    <xf numFmtId="196" fontId="60" fillId="33" borderId="15" xfId="72" applyNumberFormat="1" applyFont="1" applyFill="1" applyBorder="1" applyAlignment="1">
      <alignment horizontal="right" vertical="center" wrapText="1"/>
    </xf>
    <xf numFmtId="169" fontId="60" fillId="0" borderId="15" xfId="119" applyNumberFormat="1" applyFont="1" applyFill="1" applyBorder="1" applyAlignment="1">
      <alignment horizontal="right" vertical="center" wrapText="1"/>
      <protection/>
    </xf>
    <xf numFmtId="195" fontId="60" fillId="0" borderId="15" xfId="72" applyNumberFormat="1" applyFont="1" applyFill="1" applyBorder="1" applyAlignment="1">
      <alignment horizontal="right" vertical="center" wrapText="1"/>
    </xf>
    <xf numFmtId="3" fontId="12" fillId="33" borderId="15" xfId="121" applyNumberFormat="1" applyFont="1" applyFill="1" applyBorder="1" applyAlignment="1">
      <alignment horizontal="right" vertical="center"/>
      <protection/>
    </xf>
    <xf numFmtId="3" fontId="60" fillId="0" borderId="15" xfId="119" applyNumberFormat="1" applyFont="1" applyFill="1" applyBorder="1" applyAlignment="1">
      <alignment horizontal="right" wrapText="1"/>
      <protection/>
    </xf>
    <xf numFmtId="3" fontId="12" fillId="0" borderId="15" xfId="121" applyNumberFormat="1" applyFont="1" applyBorder="1" applyAlignment="1">
      <alignment horizontal="right" vertical="center"/>
      <protection/>
    </xf>
    <xf numFmtId="3" fontId="60" fillId="33" borderId="15" xfId="119" applyNumberFormat="1" applyFont="1" applyFill="1" applyBorder="1" applyAlignment="1">
      <alignment horizontal="right" wrapText="1"/>
      <protection/>
    </xf>
    <xf numFmtId="3" fontId="12" fillId="0" borderId="15" xfId="121" applyNumberFormat="1" applyFont="1" applyBorder="1" applyAlignment="1">
      <alignment horizontal="right" vertical="center" wrapText="1"/>
      <protection/>
    </xf>
    <xf numFmtId="2" fontId="60" fillId="0" borderId="15" xfId="119" applyNumberFormat="1" applyFont="1" applyFill="1" applyBorder="1" applyAlignment="1">
      <alignment horizontal="right" vertical="center" wrapText="1"/>
      <protection/>
    </xf>
    <xf numFmtId="1" fontId="12" fillId="0" borderId="15" xfId="65" applyNumberFormat="1" applyFont="1" applyFill="1" applyBorder="1" applyAlignment="1">
      <alignment horizontal="right" vertical="center" wrapText="1"/>
    </xf>
    <xf numFmtId="1" fontId="60" fillId="33" borderId="15" xfId="72" applyNumberFormat="1" applyFont="1" applyFill="1" applyBorder="1" applyAlignment="1">
      <alignment horizontal="right" vertical="center" wrapText="1"/>
    </xf>
    <xf numFmtId="1" fontId="60" fillId="0" borderId="15" xfId="72" applyNumberFormat="1" applyFont="1" applyFill="1" applyBorder="1" applyAlignment="1">
      <alignment horizontal="right" vertical="center" wrapText="1"/>
    </xf>
    <xf numFmtId="3" fontId="60" fillId="0" borderId="15" xfId="148" applyNumberFormat="1" applyFont="1" applyFill="1" applyBorder="1" applyAlignment="1">
      <alignment horizontal="right" vertical="center" wrapText="1"/>
    </xf>
    <xf numFmtId="3" fontId="60" fillId="33" borderId="15" xfId="148" applyNumberFormat="1" applyFont="1" applyFill="1" applyBorder="1" applyAlignment="1">
      <alignment horizontal="right" vertical="center" wrapText="1"/>
    </xf>
    <xf numFmtId="2" fontId="12" fillId="33" borderId="15" xfId="65" applyNumberFormat="1" applyFont="1" applyFill="1" applyBorder="1" applyAlignment="1">
      <alignment horizontal="right" vertical="center"/>
    </xf>
    <xf numFmtId="175" fontId="12" fillId="0" borderId="15" xfId="68" applyNumberFormat="1" applyFont="1" applyFill="1" applyBorder="1" applyAlignment="1">
      <alignment horizontal="right" vertical="center"/>
    </xf>
    <xf numFmtId="1" fontId="12" fillId="33" borderId="15" xfId="145" applyNumberFormat="1" applyFont="1" applyFill="1" applyBorder="1" applyAlignment="1">
      <alignment horizontal="right" vertical="center"/>
    </xf>
    <xf numFmtId="0" fontId="12" fillId="33" borderId="15" xfId="108" applyFont="1" applyFill="1" applyBorder="1" applyAlignment="1">
      <alignment horizontal="right" vertical="center"/>
      <protection/>
    </xf>
    <xf numFmtId="175" fontId="12" fillId="33" borderId="15" xfId="68" applyNumberFormat="1" applyFont="1" applyFill="1" applyBorder="1" applyAlignment="1">
      <alignment horizontal="right" vertical="center"/>
    </xf>
    <xf numFmtId="0" fontId="12" fillId="33" borderId="15" xfId="145" applyNumberFormat="1" applyFont="1" applyFill="1" applyBorder="1" applyAlignment="1">
      <alignment horizontal="right" vertical="center"/>
    </xf>
    <xf numFmtId="3" fontId="12" fillId="33" borderId="15" xfId="108" applyNumberFormat="1" applyFont="1" applyFill="1" applyBorder="1" applyAlignment="1">
      <alignment horizontal="right" vertical="center"/>
      <protection/>
    </xf>
    <xf numFmtId="0" fontId="64" fillId="0" borderId="20" xfId="121" applyFont="1" applyFill="1" applyBorder="1" applyAlignment="1">
      <alignment horizontal="center" vertical="center" wrapText="1"/>
      <protection/>
    </xf>
    <xf numFmtId="0" fontId="64" fillId="0" borderId="20" xfId="121" applyFont="1" applyFill="1" applyBorder="1" applyAlignment="1">
      <alignment wrapText="1"/>
      <protection/>
    </xf>
    <xf numFmtId="175" fontId="60" fillId="0" borderId="20" xfId="71" applyNumberFormat="1" applyFont="1" applyFill="1" applyBorder="1" applyAlignment="1">
      <alignment horizontal="center" vertical="center" wrapText="1"/>
    </xf>
    <xf numFmtId="172" fontId="60" fillId="0" borderId="20" xfId="72" applyNumberFormat="1" applyFont="1" applyFill="1" applyBorder="1" applyAlignment="1">
      <alignment horizontal="right" vertical="center" wrapText="1"/>
    </xf>
    <xf numFmtId="172" fontId="60" fillId="33" borderId="20" xfId="72" applyNumberFormat="1" applyFont="1" applyFill="1" applyBorder="1" applyAlignment="1">
      <alignment horizontal="right" vertical="center" wrapText="1"/>
    </xf>
    <xf numFmtId="0" fontId="60" fillId="0" borderId="20" xfId="119" applyFont="1" applyFill="1" applyBorder="1" applyAlignment="1">
      <alignment horizontal="right" wrapText="1"/>
      <protection/>
    </xf>
    <xf numFmtId="0" fontId="60" fillId="0" borderId="20" xfId="121" applyFont="1" applyFill="1" applyBorder="1" applyAlignment="1">
      <alignment vertical="center" wrapText="1"/>
      <protection/>
    </xf>
    <xf numFmtId="0" fontId="60" fillId="0" borderId="24" xfId="121" applyFont="1" applyFill="1" applyBorder="1" applyAlignment="1">
      <alignment wrapText="1"/>
      <protection/>
    </xf>
    <xf numFmtId="175" fontId="60" fillId="0" borderId="24" xfId="72" applyNumberFormat="1" applyFont="1" applyFill="1" applyBorder="1" applyAlignment="1">
      <alignment vertical="center" wrapText="1"/>
    </xf>
    <xf numFmtId="0" fontId="60" fillId="33" borderId="24" xfId="119" applyFont="1" applyFill="1" applyBorder="1" applyAlignment="1">
      <alignment horizontal="right" vertical="top" wrapText="1"/>
      <protection/>
    </xf>
    <xf numFmtId="0" fontId="60" fillId="0" borderId="24" xfId="119" applyFont="1" applyFill="1" applyBorder="1" applyAlignment="1">
      <alignment horizontal="right" vertical="top" wrapText="1"/>
      <protection/>
    </xf>
    <xf numFmtId="0" fontId="60" fillId="0" borderId="25" xfId="121" applyFont="1" applyFill="1" applyBorder="1" applyAlignment="1">
      <alignment vertical="center" wrapText="1"/>
      <protection/>
    </xf>
    <xf numFmtId="175" fontId="60" fillId="0" borderId="25" xfId="72" applyNumberFormat="1" applyFont="1" applyFill="1" applyBorder="1" applyAlignment="1">
      <alignment vertical="center" wrapText="1"/>
    </xf>
    <xf numFmtId="0" fontId="60" fillId="0" borderId="21" xfId="121" applyFont="1" applyFill="1" applyBorder="1" applyAlignment="1">
      <alignment vertical="center" wrapText="1"/>
      <protection/>
    </xf>
    <xf numFmtId="175" fontId="60" fillId="0" borderId="10" xfId="72" applyNumberFormat="1" applyFont="1" applyFill="1" applyBorder="1" applyAlignment="1">
      <alignment vertical="center" wrapText="1"/>
    </xf>
    <xf numFmtId="175" fontId="60" fillId="0" borderId="21" xfId="72" applyNumberFormat="1" applyFont="1" applyFill="1" applyBorder="1" applyAlignment="1">
      <alignment vertical="center" wrapText="1"/>
    </xf>
    <xf numFmtId="0" fontId="60" fillId="0" borderId="24" xfId="121" applyFont="1" applyFill="1" applyBorder="1" applyAlignment="1" quotePrefix="1">
      <alignment vertical="center" wrapText="1"/>
      <protection/>
    </xf>
    <xf numFmtId="0" fontId="60" fillId="33" borderId="24" xfId="119" applyFont="1" applyFill="1" applyBorder="1" applyAlignment="1">
      <alignment horizontal="right" wrapText="1"/>
      <protection/>
    </xf>
    <xf numFmtId="0" fontId="60" fillId="0" borderId="24" xfId="119" applyFont="1" applyFill="1" applyBorder="1" applyAlignment="1">
      <alignment horizontal="right" wrapText="1"/>
      <protection/>
    </xf>
    <xf numFmtId="0" fontId="60" fillId="0" borderId="26" xfId="121" applyFont="1" applyFill="1" applyBorder="1" applyAlignment="1" quotePrefix="1">
      <alignment vertical="center" wrapText="1"/>
      <protection/>
    </xf>
    <xf numFmtId="175" fontId="60" fillId="0" borderId="26" xfId="72" applyNumberFormat="1" applyFont="1" applyFill="1" applyBorder="1" applyAlignment="1">
      <alignment vertical="center" wrapText="1"/>
    </xf>
    <xf numFmtId="0" fontId="60" fillId="33" borderId="26" xfId="119" applyFont="1" applyFill="1" applyBorder="1" applyAlignment="1">
      <alignment horizontal="right" wrapText="1"/>
      <protection/>
    </xf>
    <xf numFmtId="0" fontId="60" fillId="0" borderId="26" xfId="119" applyFont="1" applyFill="1" applyBorder="1" applyAlignment="1">
      <alignment horizontal="right" wrapText="1"/>
      <protection/>
    </xf>
    <xf numFmtId="0" fontId="60" fillId="0" borderId="25" xfId="121" applyFont="1" applyFill="1" applyBorder="1" applyAlignment="1" quotePrefix="1">
      <alignment vertical="center" wrapText="1"/>
      <protection/>
    </xf>
    <xf numFmtId="0" fontId="60" fillId="33" borderId="25" xfId="119" applyFont="1" applyFill="1" applyBorder="1" applyAlignment="1">
      <alignment horizontal="right" wrapText="1"/>
      <protection/>
    </xf>
    <xf numFmtId="0" fontId="60" fillId="0" borderId="25" xfId="119" applyFont="1" applyFill="1" applyBorder="1" applyAlignment="1">
      <alignment horizontal="right" wrapText="1"/>
      <protection/>
    </xf>
    <xf numFmtId="0" fontId="60" fillId="0" borderId="21" xfId="121" applyFont="1" applyFill="1" applyBorder="1" applyAlignment="1" quotePrefix="1">
      <alignment vertical="center" wrapText="1"/>
      <protection/>
    </xf>
    <xf numFmtId="0" fontId="60" fillId="33" borderId="15" xfId="119" applyFont="1" applyFill="1" applyBorder="1" applyAlignment="1">
      <alignment horizontal="right" wrapText="1"/>
      <protection/>
    </xf>
    <xf numFmtId="0" fontId="60" fillId="0" borderId="27" xfId="121" applyFont="1" applyFill="1" applyBorder="1" applyAlignment="1" quotePrefix="1">
      <alignment vertical="center" wrapText="1"/>
      <protection/>
    </xf>
    <xf numFmtId="1" fontId="60" fillId="0" borderId="27" xfId="145" applyNumberFormat="1" applyFont="1" applyFill="1" applyBorder="1" applyAlignment="1">
      <alignment vertical="center" wrapText="1"/>
    </xf>
    <xf numFmtId="0" fontId="60" fillId="33" borderId="27" xfId="119" applyFont="1" applyFill="1" applyBorder="1" applyAlignment="1">
      <alignment horizontal="right" wrapText="1"/>
      <protection/>
    </xf>
    <xf numFmtId="0" fontId="60" fillId="0" borderId="27" xfId="119" applyFont="1" applyFill="1" applyBorder="1" applyAlignment="1">
      <alignment horizontal="right" wrapText="1"/>
      <protection/>
    </xf>
    <xf numFmtId="0" fontId="60" fillId="0" borderId="28" xfId="121" applyFont="1" applyFill="1" applyBorder="1" applyAlignment="1" quotePrefix="1">
      <alignment vertical="center" wrapText="1"/>
      <protection/>
    </xf>
    <xf numFmtId="0" fontId="60" fillId="33" borderId="28" xfId="119" applyFont="1" applyFill="1" applyBorder="1" applyAlignment="1">
      <alignment horizontal="right" wrapText="1"/>
      <protection/>
    </xf>
    <xf numFmtId="0" fontId="60" fillId="0" borderId="28" xfId="119" applyFont="1" applyFill="1" applyBorder="1" applyAlignment="1">
      <alignment horizontal="right" wrapText="1"/>
      <protection/>
    </xf>
    <xf numFmtId="0" fontId="60" fillId="0" borderId="29" xfId="121" applyFont="1" applyFill="1" applyBorder="1" applyAlignment="1" quotePrefix="1">
      <alignment vertical="center" wrapText="1"/>
      <protection/>
    </xf>
    <xf numFmtId="0" fontId="60" fillId="33" borderId="29" xfId="119" applyFont="1" applyFill="1" applyBorder="1" applyAlignment="1">
      <alignment horizontal="right" wrapText="1"/>
      <protection/>
    </xf>
    <xf numFmtId="0" fontId="60" fillId="0" borderId="29" xfId="119" applyFont="1" applyFill="1" applyBorder="1" applyAlignment="1">
      <alignment horizontal="right" wrapText="1"/>
      <protection/>
    </xf>
    <xf numFmtId="0" fontId="83" fillId="0" borderId="15" xfId="121" applyFont="1" applyFill="1" applyBorder="1" applyAlignment="1">
      <alignment horizontal="center" vertical="center" wrapText="1"/>
      <protection/>
    </xf>
    <xf numFmtId="0" fontId="83" fillId="0" borderId="15" xfId="119" applyFont="1" applyFill="1" applyBorder="1" applyAlignment="1">
      <alignment horizontal="center" vertical="center" wrapText="1"/>
      <protection/>
    </xf>
    <xf numFmtId="0" fontId="83" fillId="33" borderId="15" xfId="119" applyFont="1" applyFill="1" applyBorder="1" applyAlignment="1">
      <alignment horizontal="right" vertical="center" wrapText="1"/>
      <protection/>
    </xf>
    <xf numFmtId="0" fontId="60" fillId="0" borderId="15" xfId="119" applyFont="1" applyFill="1" applyBorder="1" applyAlignment="1">
      <alignment horizontal="right" vertical="center" wrapText="1"/>
      <protection/>
    </xf>
    <xf numFmtId="0" fontId="83" fillId="0" borderId="15" xfId="119" applyFont="1" applyFill="1" applyBorder="1" applyAlignment="1">
      <alignment horizontal="right" vertical="center" wrapText="1"/>
      <protection/>
    </xf>
    <xf numFmtId="0" fontId="83" fillId="0" borderId="20" xfId="119" applyFont="1" applyFill="1" applyBorder="1" applyAlignment="1">
      <alignment horizontal="center" vertical="center" wrapText="1"/>
      <protection/>
    </xf>
    <xf numFmtId="0" fontId="83" fillId="0" borderId="24" xfId="119" applyFont="1" applyFill="1" applyBorder="1" applyAlignment="1">
      <alignment vertical="center" wrapText="1"/>
      <protection/>
    </xf>
    <xf numFmtId="0" fontId="60" fillId="33" borderId="24" xfId="119" applyFont="1" applyFill="1" applyBorder="1" applyAlignment="1">
      <alignment horizontal="right" vertical="center" wrapText="1"/>
      <protection/>
    </xf>
    <xf numFmtId="0" fontId="60" fillId="0" borderId="24" xfId="119" applyFont="1" applyFill="1" applyBorder="1" applyAlignment="1">
      <alignment horizontal="right" vertical="center" wrapText="1"/>
      <protection/>
    </xf>
    <xf numFmtId="0" fontId="83" fillId="0" borderId="26" xfId="119" applyFont="1" applyFill="1" applyBorder="1" applyAlignment="1">
      <alignment vertical="center" wrapText="1"/>
      <protection/>
    </xf>
    <xf numFmtId="0" fontId="60" fillId="33" borderId="26" xfId="119" applyFont="1" applyFill="1" applyBorder="1" applyAlignment="1">
      <alignment horizontal="right" vertical="center" wrapText="1"/>
      <protection/>
    </xf>
    <xf numFmtId="0" fontId="60" fillId="0" borderId="26" xfId="119" applyFont="1" applyFill="1" applyBorder="1" applyAlignment="1">
      <alignment horizontal="right" vertical="center" wrapText="1"/>
      <protection/>
    </xf>
    <xf numFmtId="0" fontId="83" fillId="0" borderId="25" xfId="119" applyFont="1" applyFill="1" applyBorder="1" applyAlignment="1">
      <alignment vertical="center" wrapText="1"/>
      <protection/>
    </xf>
    <xf numFmtId="0" fontId="60" fillId="33" borderId="25" xfId="119" applyFont="1" applyFill="1" applyBorder="1" applyAlignment="1">
      <alignment horizontal="right" vertical="center" wrapText="1"/>
      <protection/>
    </xf>
    <xf numFmtId="0" fontId="60" fillId="0" borderId="25" xfId="119" applyFont="1" applyFill="1" applyBorder="1" applyAlignment="1">
      <alignment horizontal="right" vertical="center" wrapText="1"/>
      <protection/>
    </xf>
    <xf numFmtId="0" fontId="60" fillId="0" borderId="15" xfId="110" applyFont="1" applyBorder="1">
      <alignment/>
      <protection/>
    </xf>
    <xf numFmtId="0" fontId="60" fillId="0" borderId="15" xfId="108" applyFont="1" applyBorder="1">
      <alignment/>
      <protection/>
    </xf>
    <xf numFmtId="43" fontId="0" fillId="0" borderId="0" xfId="52" applyFont="1" applyAlignment="1">
      <alignment/>
    </xf>
    <xf numFmtId="4" fontId="5" fillId="0" borderId="15" xfId="68" applyNumberFormat="1" applyFont="1" applyFill="1" applyBorder="1" applyAlignment="1">
      <alignment horizontal="right" vertical="center" wrapText="1"/>
    </xf>
    <xf numFmtId="4" fontId="52" fillId="0" borderId="15" xfId="52" applyNumberFormat="1" applyFont="1" applyFill="1" applyBorder="1" applyAlignment="1">
      <alignment horizontal="right" vertical="center" wrapText="1"/>
    </xf>
    <xf numFmtId="2" fontId="5" fillId="0" borderId="15" xfId="68" applyNumberFormat="1" applyFont="1" applyFill="1" applyBorder="1" applyAlignment="1">
      <alignment horizontal="right" vertical="center" wrapText="1"/>
    </xf>
    <xf numFmtId="2" fontId="0" fillId="0" borderId="15" xfId="68" applyNumberFormat="1" applyFont="1" applyFill="1" applyBorder="1" applyAlignment="1">
      <alignment horizontal="right" vertical="center" wrapText="1"/>
    </xf>
    <xf numFmtId="4" fontId="0" fillId="33" borderId="15" xfId="141" applyNumberFormat="1" applyFont="1" applyFill="1" applyBorder="1" applyAlignment="1">
      <alignment horizontal="center" vertical="center"/>
      <protection/>
    </xf>
    <xf numFmtId="3" fontId="0" fillId="33" borderId="0" xfId="141" applyNumberFormat="1" applyFont="1" applyFill="1" applyAlignment="1">
      <alignment horizontal="center" vertical="center"/>
      <protection/>
    </xf>
    <xf numFmtId="0" fontId="5" fillId="0" borderId="15" xfId="141" applyFont="1" applyFill="1" applyBorder="1" applyAlignment="1" quotePrefix="1">
      <alignment horizontal="center" vertical="center"/>
      <protection/>
    </xf>
    <xf numFmtId="0" fontId="54" fillId="0" borderId="15" xfId="141" applyFont="1" applyFill="1" applyBorder="1" applyAlignment="1" quotePrefix="1">
      <alignment horizontal="center" vertical="center"/>
      <protection/>
    </xf>
    <xf numFmtId="49" fontId="146" fillId="0" borderId="15" xfId="141" applyNumberFormat="1" applyFont="1" applyFill="1" applyBorder="1" applyAlignment="1">
      <alignment vertical="center" wrapText="1"/>
      <protection/>
    </xf>
    <xf numFmtId="0" fontId="146" fillId="0" borderId="15" xfId="141" applyFont="1" applyFill="1" applyBorder="1" applyAlignment="1">
      <alignment vertical="center" wrapText="1"/>
      <protection/>
    </xf>
    <xf numFmtId="49" fontId="146" fillId="0" borderId="15" xfId="141" applyNumberFormat="1" applyFont="1" applyFill="1" applyBorder="1" applyAlignment="1">
      <alignment horizontal="center" vertical="center" wrapText="1"/>
      <protection/>
    </xf>
    <xf numFmtId="3" fontId="0" fillId="0" borderId="15" xfId="141" applyNumberFormat="1" applyFont="1" applyFill="1" applyBorder="1" applyAlignment="1">
      <alignment vertical="center"/>
      <protection/>
    </xf>
    <xf numFmtId="169" fontId="0" fillId="0" borderId="15" xfId="141" applyNumberFormat="1" applyFont="1" applyFill="1" applyBorder="1" applyAlignment="1">
      <alignment vertical="center" wrapText="1"/>
      <protection/>
    </xf>
    <xf numFmtId="169" fontId="0" fillId="0" borderId="15" xfId="141" applyNumberFormat="1" applyFont="1" applyFill="1" applyBorder="1" applyAlignment="1">
      <alignment vertical="center"/>
      <protection/>
    </xf>
    <xf numFmtId="0" fontId="0" fillId="0" borderId="0" xfId="141" applyFont="1" applyFill="1" applyAlignment="1">
      <alignment vertical="center"/>
      <protection/>
    </xf>
    <xf numFmtId="0" fontId="54" fillId="0" borderId="0" xfId="103" applyFont="1" applyFill="1">
      <alignment/>
      <protection/>
    </xf>
    <xf numFmtId="175" fontId="59" fillId="0" borderId="15" xfId="103" applyNumberFormat="1" applyFont="1" applyFill="1" applyBorder="1" applyAlignment="1">
      <alignment horizontal="right" vertical="center" wrapText="1"/>
      <protection/>
    </xf>
    <xf numFmtId="172" fontId="59" fillId="0" borderId="15" xfId="103" applyNumberFormat="1" applyFont="1" applyFill="1" applyBorder="1" applyAlignment="1">
      <alignment horizontal="right" vertical="center" wrapText="1"/>
      <protection/>
    </xf>
    <xf numFmtId="0" fontId="54" fillId="0" borderId="0" xfId="103" applyFont="1" applyFill="1" applyAlignment="1">
      <alignment vertical="center"/>
      <protection/>
    </xf>
    <xf numFmtId="175" fontId="54" fillId="0" borderId="0" xfId="103" applyNumberFormat="1" applyFont="1" applyFill="1" applyAlignment="1">
      <alignment vertical="center"/>
      <protection/>
    </xf>
    <xf numFmtId="49" fontId="59" fillId="0" borderId="15" xfId="136" applyNumberFormat="1" applyFont="1" applyFill="1" applyBorder="1" applyAlignment="1" quotePrefix="1">
      <alignment vertical="center" wrapText="1"/>
      <protection/>
    </xf>
    <xf numFmtId="0" fontId="54" fillId="0" borderId="15" xfId="136" applyFont="1" applyFill="1" applyBorder="1" applyAlignment="1">
      <alignment horizontal="right" vertical="center" wrapText="1"/>
      <protection/>
    </xf>
    <xf numFmtId="164" fontId="54" fillId="0" borderId="0" xfId="103" applyNumberFormat="1" applyFont="1" applyFill="1" applyAlignment="1">
      <alignment vertical="center"/>
      <protection/>
    </xf>
    <xf numFmtId="175" fontId="59" fillId="0" borderId="15" xfId="53" applyNumberFormat="1" applyFont="1" applyFill="1" applyBorder="1" applyAlignment="1">
      <alignment horizontal="right" vertical="center" wrapText="1"/>
    </xf>
    <xf numFmtId="175" fontId="59" fillId="0" borderId="15" xfId="68" applyNumberFormat="1" applyFont="1" applyFill="1" applyBorder="1" applyAlignment="1">
      <alignment horizontal="right" vertical="center" wrapText="1"/>
    </xf>
    <xf numFmtId="175" fontId="59" fillId="0" borderId="15" xfId="68" applyNumberFormat="1" applyFont="1" applyFill="1" applyBorder="1" applyAlignment="1" applyProtection="1">
      <alignment horizontal="right" vertical="center"/>
      <protection locked="0"/>
    </xf>
    <xf numFmtId="175" fontId="59" fillId="0" borderId="15" xfId="68" applyNumberFormat="1" applyFont="1" applyFill="1" applyBorder="1" applyAlignment="1">
      <alignment horizontal="right" vertical="center"/>
    </xf>
    <xf numFmtId="0" fontId="54" fillId="0" borderId="20" xfId="136" applyFont="1" applyFill="1" applyBorder="1" applyAlignment="1">
      <alignment horizontal="center" vertical="center" wrapText="1"/>
      <protection/>
    </xf>
    <xf numFmtId="49" fontId="54" fillId="0" borderId="30" xfId="136" applyNumberFormat="1" applyFont="1" applyFill="1" applyBorder="1" applyAlignment="1" quotePrefix="1">
      <alignment vertical="center" wrapText="1"/>
      <protection/>
    </xf>
    <xf numFmtId="175" fontId="54" fillId="0" borderId="15" xfId="53" applyNumberFormat="1" applyFont="1" applyFill="1" applyBorder="1" applyAlignment="1">
      <alignment horizontal="right" vertical="center" wrapText="1"/>
    </xf>
    <xf numFmtId="175" fontId="54" fillId="0" borderId="15" xfId="68" applyNumberFormat="1" applyFont="1" applyFill="1" applyBorder="1" applyAlignment="1">
      <alignment horizontal="right" vertical="center" wrapText="1"/>
    </xf>
    <xf numFmtId="175" fontId="54" fillId="0" borderId="15" xfId="68" applyNumberFormat="1" applyFont="1" applyFill="1" applyBorder="1" applyAlignment="1" applyProtection="1">
      <alignment horizontal="right" vertical="center"/>
      <protection locked="0"/>
    </xf>
    <xf numFmtId="175" fontId="54" fillId="0" borderId="15" xfId="68" applyNumberFormat="1" applyFont="1" applyFill="1" applyBorder="1" applyAlignment="1">
      <alignment horizontal="right" vertical="center"/>
    </xf>
    <xf numFmtId="172" fontId="54" fillId="0" borderId="15" xfId="103" applyNumberFormat="1" applyFont="1" applyFill="1" applyBorder="1" applyAlignment="1">
      <alignment horizontal="right" vertical="center" wrapText="1"/>
      <protection/>
    </xf>
    <xf numFmtId="0" fontId="54" fillId="0" borderId="10" xfId="136" applyFont="1" applyFill="1" applyBorder="1" applyAlignment="1">
      <alignment horizontal="center" vertical="center" wrapText="1"/>
      <protection/>
    </xf>
    <xf numFmtId="0" fontId="54" fillId="0" borderId="0" xfId="103" applyFont="1" applyFill="1" applyAlignment="1">
      <alignment vertical="center" wrapText="1"/>
      <protection/>
    </xf>
    <xf numFmtId="0" fontId="54" fillId="0" borderId="21" xfId="136" applyFont="1" applyFill="1" applyBorder="1" applyAlignment="1">
      <alignment horizontal="center" vertical="center" wrapText="1"/>
      <protection/>
    </xf>
    <xf numFmtId="0" fontId="59" fillId="0" borderId="21" xfId="136" applyFont="1" applyFill="1" applyBorder="1" applyAlignment="1">
      <alignment horizontal="center" vertical="center" wrapText="1"/>
      <protection/>
    </xf>
    <xf numFmtId="49" fontId="54" fillId="0" borderId="15" xfId="136" applyNumberFormat="1" applyFont="1" applyFill="1" applyBorder="1" applyAlignment="1">
      <alignment vertical="center" wrapText="1"/>
      <protection/>
    </xf>
    <xf numFmtId="0" fontId="54" fillId="0" borderId="15" xfId="137" applyFont="1" applyFill="1" applyBorder="1" applyAlignment="1">
      <alignment horizontal="right" vertical="center" wrapText="1"/>
      <protection/>
    </xf>
    <xf numFmtId="49" fontId="54" fillId="0" borderId="15" xfId="136" applyNumberFormat="1" applyFont="1" applyFill="1" applyBorder="1" applyAlignment="1" quotePrefix="1">
      <alignment vertical="center" wrapText="1"/>
      <protection/>
    </xf>
    <xf numFmtId="0" fontId="59" fillId="0" borderId="20" xfId="136" applyFont="1" applyFill="1" applyBorder="1" applyAlignment="1">
      <alignment horizontal="center" vertical="center" wrapText="1"/>
      <protection/>
    </xf>
    <xf numFmtId="164" fontId="54" fillId="0" borderId="15" xfId="53" applyNumberFormat="1" applyFont="1" applyFill="1" applyBorder="1" applyAlignment="1">
      <alignment horizontal="right" vertical="center" wrapText="1"/>
    </xf>
    <xf numFmtId="172" fontId="54" fillId="0" borderId="15" xfId="53" applyNumberFormat="1" applyFont="1" applyFill="1" applyBorder="1" applyAlignment="1">
      <alignment horizontal="right" vertical="center" wrapText="1"/>
    </xf>
    <xf numFmtId="181" fontId="54" fillId="0" borderId="15" xfId="136" applyNumberFormat="1" applyFont="1" applyFill="1" applyBorder="1" applyAlignment="1">
      <alignment horizontal="right" vertical="center" wrapText="1"/>
      <protection/>
    </xf>
    <xf numFmtId="181" fontId="54" fillId="0" borderId="15" xfId="103" applyNumberFormat="1" applyFont="1" applyFill="1" applyBorder="1" applyAlignment="1">
      <alignment horizontal="right" vertical="center" wrapText="1"/>
      <protection/>
    </xf>
    <xf numFmtId="181" fontId="54" fillId="0" borderId="15" xfId="136" applyNumberFormat="1" applyFont="1" applyFill="1" applyBorder="1" applyAlignment="1">
      <alignment horizontal="center" vertical="center" wrapText="1"/>
      <protection/>
    </xf>
    <xf numFmtId="1" fontId="54" fillId="0" borderId="15" xfId="136" applyNumberFormat="1" applyFont="1" applyFill="1" applyBorder="1" applyAlignment="1">
      <alignment horizontal="right" vertical="center" wrapText="1"/>
      <protection/>
    </xf>
    <xf numFmtId="0" fontId="54" fillId="0" borderId="0" xfId="103" applyFont="1" applyFill="1" applyBorder="1" applyAlignment="1">
      <alignment horizontal="right" vertical="center" wrapText="1"/>
      <protection/>
    </xf>
    <xf numFmtId="175" fontId="54" fillId="0" borderId="15" xfId="103" applyNumberFormat="1" applyFont="1" applyFill="1" applyBorder="1" applyAlignment="1">
      <alignment horizontal="right" vertical="center" wrapText="1"/>
      <protection/>
    </xf>
    <xf numFmtId="175" fontId="54" fillId="0" borderId="15" xfId="136" applyNumberFormat="1" applyFont="1" applyFill="1" applyBorder="1" applyAlignment="1">
      <alignment horizontal="right" vertical="center" wrapText="1"/>
      <protection/>
    </xf>
    <xf numFmtId="0" fontId="59" fillId="0" borderId="15" xfId="103" applyFont="1" applyFill="1" applyBorder="1" applyAlignment="1">
      <alignment horizontal="center" vertical="center" wrapText="1"/>
      <protection/>
    </xf>
    <xf numFmtId="0" fontId="59" fillId="0" borderId="15" xfId="103" applyFont="1" applyFill="1" applyBorder="1" applyAlignment="1">
      <alignment vertical="center" wrapText="1"/>
      <protection/>
    </xf>
    <xf numFmtId="2" fontId="54" fillId="0" borderId="15" xfId="103" applyNumberFormat="1" applyFont="1" applyFill="1" applyBorder="1" applyAlignment="1">
      <alignment horizontal="right" vertical="center" wrapText="1"/>
      <protection/>
    </xf>
    <xf numFmtId="164" fontId="54" fillId="0" borderId="15" xfId="103" applyNumberFormat="1" applyFont="1" applyFill="1" applyBorder="1" applyAlignment="1">
      <alignment horizontal="right" vertical="center" wrapText="1"/>
      <protection/>
    </xf>
    <xf numFmtId="3" fontId="59" fillId="0" borderId="15" xfId="53" applyNumberFormat="1" applyFont="1" applyFill="1" applyBorder="1" applyAlignment="1">
      <alignment horizontal="right" vertical="center" wrapText="1"/>
    </xf>
    <xf numFmtId="3" fontId="59" fillId="0" borderId="15" xfId="103" applyNumberFormat="1" applyFont="1" applyFill="1" applyBorder="1" applyAlignment="1">
      <alignment horizontal="right" vertical="center" wrapText="1"/>
      <protection/>
    </xf>
    <xf numFmtId="3" fontId="54" fillId="0" borderId="15" xfId="53" applyNumberFormat="1" applyFont="1" applyFill="1" applyBorder="1" applyAlignment="1">
      <alignment horizontal="right" vertical="center" wrapText="1"/>
    </xf>
    <xf numFmtId="43" fontId="54" fillId="0" borderId="15" xfId="68" applyFont="1" applyFill="1" applyBorder="1" applyAlignment="1">
      <alignment horizontal="right" vertical="center" wrapText="1"/>
    </xf>
    <xf numFmtId="3" fontId="54" fillId="0" borderId="15" xfId="103" applyNumberFormat="1" applyFont="1" applyFill="1" applyBorder="1" applyAlignment="1">
      <alignment horizontal="right" vertical="center" wrapText="1"/>
      <protection/>
    </xf>
    <xf numFmtId="2" fontId="54" fillId="0" borderId="15" xfId="136" applyNumberFormat="1" applyFont="1" applyFill="1" applyBorder="1" applyAlignment="1">
      <alignment horizontal="right" vertical="center" wrapText="1"/>
      <protection/>
    </xf>
    <xf numFmtId="1" fontId="59" fillId="0" borderId="15" xfId="103" applyNumberFormat="1" applyFont="1" applyFill="1" applyBorder="1" applyAlignment="1">
      <alignment horizontal="right" vertical="center" wrapText="1"/>
      <protection/>
    </xf>
    <xf numFmtId="1" fontId="54" fillId="0" borderId="0" xfId="103" applyNumberFormat="1" applyFont="1" applyFill="1" applyAlignment="1">
      <alignment vertical="center"/>
      <protection/>
    </xf>
    <xf numFmtId="175" fontId="59" fillId="0" borderId="15" xfId="60" applyNumberFormat="1" applyFont="1" applyFill="1" applyBorder="1" applyAlignment="1">
      <alignment horizontal="right" vertical="center" wrapText="1"/>
    </xf>
    <xf numFmtId="172" fontId="54" fillId="0" borderId="0" xfId="103" applyNumberFormat="1" applyFont="1" applyFill="1" applyAlignment="1">
      <alignment vertical="center"/>
      <protection/>
    </xf>
    <xf numFmtId="175" fontId="54" fillId="0" borderId="15" xfId="60" applyNumberFormat="1" applyFont="1" applyFill="1" applyBorder="1" applyAlignment="1">
      <alignment horizontal="right" vertical="center" wrapText="1"/>
    </xf>
    <xf numFmtId="172" fontId="54" fillId="0" borderId="15" xfId="68" applyNumberFormat="1" applyFont="1" applyFill="1" applyBorder="1" applyAlignment="1">
      <alignment horizontal="right" vertical="center" wrapText="1"/>
    </xf>
    <xf numFmtId="0" fontId="84" fillId="0" borderId="21" xfId="136" applyFont="1" applyFill="1" applyBorder="1" applyAlignment="1">
      <alignment horizontal="center" vertical="center" wrapText="1"/>
      <protection/>
    </xf>
    <xf numFmtId="49" fontId="54" fillId="0" borderId="15" xfId="137" applyNumberFormat="1" applyFont="1" applyFill="1" applyBorder="1" applyAlignment="1">
      <alignment vertical="center" wrapText="1"/>
      <protection/>
    </xf>
    <xf numFmtId="3" fontId="54" fillId="0" borderId="15" xfId="136" applyNumberFormat="1" applyFont="1" applyFill="1" applyBorder="1" applyAlignment="1">
      <alignment horizontal="right" vertical="center" wrapText="1"/>
      <protection/>
    </xf>
    <xf numFmtId="49" fontId="54" fillId="0" borderId="15" xfId="137" applyNumberFormat="1" applyFont="1" applyFill="1" applyBorder="1" applyAlignment="1" quotePrefix="1">
      <alignment vertical="center" wrapText="1"/>
      <protection/>
    </xf>
    <xf numFmtId="0" fontId="59" fillId="0" borderId="15" xfId="136" applyFont="1" applyFill="1" applyBorder="1" applyAlignment="1">
      <alignment horizontal="right" vertical="center" wrapText="1"/>
      <protection/>
    </xf>
    <xf numFmtId="0" fontId="59" fillId="0" borderId="0" xfId="103" applyFont="1" applyFill="1" applyAlignment="1">
      <alignment vertical="center"/>
      <protection/>
    </xf>
    <xf numFmtId="3" fontId="59" fillId="0" borderId="15" xfId="136" applyNumberFormat="1" applyFont="1" applyFill="1" applyBorder="1" applyAlignment="1">
      <alignment horizontal="right" vertical="center" wrapText="1"/>
      <protection/>
    </xf>
    <xf numFmtId="0" fontId="59" fillId="0" borderId="15" xfId="103" applyFont="1" applyFill="1" applyBorder="1" applyAlignment="1">
      <alignment horizontal="right" vertical="center" wrapText="1"/>
      <protection/>
    </xf>
    <xf numFmtId="49" fontId="59" fillId="0" borderId="20" xfId="136" applyNumberFormat="1" applyFont="1" applyFill="1" applyBorder="1" applyAlignment="1">
      <alignment vertical="center" wrapText="1"/>
      <protection/>
    </xf>
    <xf numFmtId="1" fontId="54" fillId="0" borderId="15" xfId="103" applyNumberFormat="1" applyFont="1" applyFill="1" applyBorder="1" applyAlignment="1">
      <alignment horizontal="right" vertical="center" wrapText="1"/>
      <protection/>
    </xf>
    <xf numFmtId="0" fontId="54" fillId="0" borderId="15" xfId="103" applyFont="1" applyFill="1" applyBorder="1" applyAlignment="1">
      <alignment horizontal="center" vertical="center" wrapText="1"/>
      <protection/>
    </xf>
    <xf numFmtId="0" fontId="54" fillId="0" borderId="15" xfId="103" applyFont="1" applyFill="1" applyBorder="1" applyAlignment="1">
      <alignment vertical="center" wrapText="1"/>
      <protection/>
    </xf>
    <xf numFmtId="0" fontId="54" fillId="0" borderId="15" xfId="103" applyFont="1" applyFill="1" applyBorder="1" applyAlignment="1">
      <alignment horizontal="right" vertical="center" wrapText="1"/>
      <protection/>
    </xf>
    <xf numFmtId="0" fontId="54" fillId="0" borderId="0" xfId="103" applyFont="1" applyFill="1" applyAlignment="1">
      <alignment horizontal="left" vertical="center"/>
      <protection/>
    </xf>
    <xf numFmtId="0" fontId="54" fillId="0" borderId="21" xfId="137" applyFont="1" applyFill="1" applyBorder="1" applyAlignment="1">
      <alignment horizontal="center" vertical="center" wrapText="1"/>
      <protection/>
    </xf>
    <xf numFmtId="181" fontId="54" fillId="0" borderId="0" xfId="103" applyNumberFormat="1" applyFont="1" applyFill="1" applyAlignment="1">
      <alignment vertical="center" wrapText="1"/>
      <protection/>
    </xf>
    <xf numFmtId="2" fontId="54" fillId="0" borderId="0" xfId="103" applyNumberFormat="1" applyFont="1" applyFill="1" applyAlignment="1">
      <alignment vertical="center" wrapText="1"/>
      <protection/>
    </xf>
    <xf numFmtId="9" fontId="54" fillId="0" borderId="0" xfId="149" applyFont="1" applyFill="1" applyAlignment="1">
      <alignment vertical="center" wrapText="1"/>
    </xf>
    <xf numFmtId="175" fontId="54" fillId="0" borderId="0" xfId="103" applyNumberFormat="1" applyFont="1" applyFill="1" applyAlignment="1">
      <alignment vertical="center" wrapText="1"/>
      <protection/>
    </xf>
    <xf numFmtId="0" fontId="54" fillId="0" borderId="10" xfId="137" applyFont="1" applyFill="1" applyBorder="1" applyAlignment="1">
      <alignment horizontal="center" vertical="center" wrapText="1"/>
      <protection/>
    </xf>
    <xf numFmtId="0" fontId="54" fillId="0" borderId="15" xfId="136" applyFont="1" applyFill="1" applyBorder="1" applyAlignment="1">
      <alignment horizontal="center" vertical="center" wrapText="1"/>
      <protection/>
    </xf>
    <xf numFmtId="0" fontId="59" fillId="0" borderId="0" xfId="103" applyFont="1" applyFill="1" applyAlignment="1">
      <alignment vertical="center" wrapText="1"/>
      <protection/>
    </xf>
    <xf numFmtId="181" fontId="59" fillId="0" borderId="0" xfId="103" applyNumberFormat="1" applyFont="1" applyFill="1" applyAlignment="1">
      <alignment vertical="center" wrapText="1"/>
      <protection/>
    </xf>
    <xf numFmtId="2" fontId="59" fillId="0" borderId="0" xfId="103" applyNumberFormat="1" applyFont="1" applyFill="1" applyAlignment="1">
      <alignment vertical="center" wrapText="1"/>
      <protection/>
    </xf>
    <xf numFmtId="9" fontId="59" fillId="0" borderId="0" xfId="147" applyFont="1" applyFill="1" applyAlignment="1">
      <alignment vertical="center" wrapText="1"/>
    </xf>
    <xf numFmtId="175" fontId="59" fillId="0" borderId="0" xfId="103" applyNumberFormat="1" applyFont="1" applyFill="1" applyAlignment="1">
      <alignment vertical="center" wrapText="1"/>
      <protection/>
    </xf>
    <xf numFmtId="49" fontId="59" fillId="0" borderId="15" xfId="136" applyNumberFormat="1" applyFont="1" applyFill="1" applyBorder="1" applyAlignment="1" quotePrefix="1">
      <alignment horizontal="center" vertical="center" wrapText="1"/>
      <protection/>
    </xf>
    <xf numFmtId="49" fontId="59" fillId="0" borderId="15" xfId="136" applyNumberFormat="1" applyFont="1" applyFill="1" applyBorder="1" applyAlignment="1" quotePrefix="1">
      <alignment horizontal="right" vertical="center" wrapText="1"/>
      <protection/>
    </xf>
    <xf numFmtId="49" fontId="0" fillId="33" borderId="15" xfId="141" applyNumberFormat="1" applyFont="1" applyFill="1" applyBorder="1" applyAlignment="1">
      <alignment horizontal="center" vertical="center" wrapText="1"/>
      <protection/>
    </xf>
    <xf numFmtId="0" fontId="0" fillId="33" borderId="15" xfId="141" applyFont="1" applyFill="1" applyBorder="1" applyAlignment="1">
      <alignment horizontal="center" vertical="center"/>
      <protection/>
    </xf>
    <xf numFmtId="0" fontId="11" fillId="0" borderId="15" xfId="15" applyFont="1" applyFill="1" applyBorder="1" applyAlignment="1">
      <alignment horizontal="left" vertical="top" wrapText="1"/>
      <protection/>
    </xf>
    <xf numFmtId="0" fontId="11" fillId="0" borderId="15" xfId="15" applyFont="1" applyFill="1" applyBorder="1" applyAlignment="1">
      <alignment wrapText="1"/>
      <protection/>
    </xf>
    <xf numFmtId="0" fontId="11" fillId="0" borderId="15" xfId="15" applyFont="1" applyFill="1" applyBorder="1" applyAlignment="1">
      <alignment horizontal="right" wrapText="1"/>
      <protection/>
    </xf>
    <xf numFmtId="0" fontId="11" fillId="0" borderId="15" xfId="15" applyFont="1" applyFill="1" applyBorder="1" applyAlignment="1">
      <alignment horizontal="center"/>
      <protection/>
    </xf>
    <xf numFmtId="172" fontId="11" fillId="0" borderId="15" xfId="53" applyNumberFormat="1" applyFont="1" applyFill="1" applyBorder="1" applyAlignment="1">
      <alignment vertical="center" wrapText="1"/>
    </xf>
    <xf numFmtId="172" fontId="11" fillId="0" borderId="15" xfId="53" applyNumberFormat="1" applyFont="1" applyFill="1" applyBorder="1" applyAlignment="1">
      <alignment vertical="center"/>
    </xf>
    <xf numFmtId="164" fontId="11" fillId="0" borderId="15" xfId="53" applyNumberFormat="1" applyFont="1" applyFill="1" applyBorder="1" applyAlignment="1">
      <alignment vertical="center"/>
    </xf>
    <xf numFmtId="172" fontId="12" fillId="0" borderId="15" xfId="69" applyNumberFormat="1" applyFont="1" applyFill="1" applyBorder="1" applyAlignment="1">
      <alignment horizontal="right" vertical="center" wrapText="1"/>
    </xf>
    <xf numFmtId="3" fontId="12" fillId="0" borderId="15" xfId="0" applyNumberFormat="1" applyFont="1" applyFill="1" applyBorder="1" applyAlignment="1">
      <alignment horizontal="right" vertical="center" wrapText="1"/>
    </xf>
    <xf numFmtId="3" fontId="11" fillId="0" borderId="15" xfId="0" applyNumberFormat="1" applyFont="1" applyFill="1" applyBorder="1" applyAlignment="1">
      <alignment horizontal="right" vertical="center" wrapText="1"/>
    </xf>
    <xf numFmtId="172" fontId="12" fillId="0" borderId="15" xfId="69" applyNumberFormat="1" applyFont="1" applyFill="1" applyBorder="1" applyAlignment="1">
      <alignment/>
    </xf>
    <xf numFmtId="4" fontId="12" fillId="0" borderId="15" xfId="0" applyNumberFormat="1" applyFont="1" applyFill="1" applyBorder="1" applyAlignment="1">
      <alignment horizontal="right" vertical="center" wrapText="1"/>
    </xf>
    <xf numFmtId="169" fontId="12" fillId="0" borderId="15" xfId="0" applyNumberFormat="1" applyFont="1" applyFill="1" applyBorder="1" applyAlignment="1">
      <alignment horizontal="right" vertical="center" wrapText="1"/>
    </xf>
    <xf numFmtId="172" fontId="12" fillId="0" borderId="15" xfId="69" applyNumberFormat="1" applyFont="1" applyFill="1" applyBorder="1" applyAlignment="1">
      <alignment horizontal="right" vertical="center"/>
    </xf>
    <xf numFmtId="172" fontId="12" fillId="0" borderId="15" xfId="69" applyNumberFormat="1" applyFont="1" applyFill="1" applyBorder="1" applyAlignment="1">
      <alignment horizontal="center" vertical="center" wrapText="1"/>
    </xf>
    <xf numFmtId="164" fontId="12" fillId="0" borderId="15" xfId="53" applyNumberFormat="1" applyFont="1" applyFill="1" applyBorder="1" applyAlignment="1">
      <alignment horizontal="right" vertical="center" wrapText="1"/>
    </xf>
    <xf numFmtId="172" fontId="12" fillId="0" borderId="15" xfId="53" applyNumberFormat="1" applyFont="1" applyFill="1" applyBorder="1" applyAlignment="1">
      <alignment horizontal="center" vertical="center" wrapText="1"/>
    </xf>
    <xf numFmtId="4" fontId="11" fillId="0" borderId="13" xfId="0" applyNumberFormat="1" applyFont="1" applyFill="1" applyBorder="1" applyAlignment="1">
      <alignment horizontal="right" vertical="center" wrapText="1"/>
    </xf>
    <xf numFmtId="3" fontId="11" fillId="0" borderId="13" xfId="0" applyNumberFormat="1" applyFont="1" applyFill="1" applyBorder="1" applyAlignment="1">
      <alignment horizontal="right" vertical="center" wrapText="1"/>
    </xf>
    <xf numFmtId="169" fontId="11" fillId="0" borderId="13" xfId="0" applyNumberFormat="1" applyFont="1" applyFill="1" applyBorder="1" applyAlignment="1">
      <alignment horizontal="right" vertical="center" wrapText="1"/>
    </xf>
    <xf numFmtId="0" fontId="11" fillId="0" borderId="13" xfId="0" applyFont="1" applyFill="1" applyBorder="1" applyAlignment="1">
      <alignment horizontal="center" vertical="center" wrapText="1"/>
    </xf>
    <xf numFmtId="172" fontId="12" fillId="0" borderId="15" xfId="53" applyNumberFormat="1" applyFont="1" applyFill="1" applyBorder="1" applyAlignment="1">
      <alignment vertical="center"/>
    </xf>
    <xf numFmtId="185" fontId="11" fillId="0" borderId="15" xfId="145" applyNumberFormat="1" applyFont="1" applyFill="1" applyBorder="1" applyAlignment="1">
      <alignment vertical="center"/>
    </xf>
    <xf numFmtId="169" fontId="11" fillId="0" borderId="15" xfId="0" applyNumberFormat="1" applyFont="1" applyFill="1" applyBorder="1" applyAlignment="1">
      <alignment/>
    </xf>
    <xf numFmtId="0" fontId="11" fillId="0" borderId="15" xfId="0" applyFont="1" applyFill="1" applyBorder="1" applyAlignment="1">
      <alignment horizontal="right" wrapText="1"/>
    </xf>
    <xf numFmtId="169" fontId="12" fillId="0" borderId="15" xfId="0" applyNumberFormat="1" applyFont="1" applyFill="1" applyBorder="1" applyAlignment="1">
      <alignment/>
    </xf>
    <xf numFmtId="0" fontId="12" fillId="0" borderId="15" xfId="0" applyFont="1" applyFill="1" applyBorder="1" applyAlignment="1">
      <alignment horizontal="right" wrapText="1"/>
    </xf>
    <xf numFmtId="181" fontId="11" fillId="0" borderId="15" xfId="53" applyNumberFormat="1" applyFont="1" applyFill="1" applyBorder="1" applyAlignment="1">
      <alignment horizontal="right" vertical="center"/>
    </xf>
    <xf numFmtId="0" fontId="142" fillId="0" borderId="15" xfId="0" applyFont="1" applyFill="1" applyBorder="1" applyAlignment="1">
      <alignment/>
    </xf>
    <xf numFmtId="0" fontId="12" fillId="0" borderId="15" xfId="0" applyFont="1" applyFill="1" applyBorder="1" applyAlignment="1">
      <alignment wrapText="1"/>
    </xf>
    <xf numFmtId="0" fontId="11" fillId="0" borderId="15" xfId="0" applyFont="1" applyFill="1" applyBorder="1" applyAlignment="1">
      <alignment wrapText="1"/>
    </xf>
    <xf numFmtId="172" fontId="58" fillId="0" borderId="15" xfId="53" applyNumberFormat="1" applyFont="1" applyFill="1" applyBorder="1" applyAlignment="1">
      <alignment horizontal="center" vertical="center" wrapText="1"/>
    </xf>
    <xf numFmtId="181" fontId="12" fillId="0" borderId="15" xfId="0" applyNumberFormat="1" applyFont="1" applyFill="1" applyBorder="1" applyAlignment="1">
      <alignment wrapText="1"/>
    </xf>
    <xf numFmtId="43" fontId="0" fillId="0" borderId="15" xfId="52" applyNumberFormat="1" applyFont="1" applyFill="1" applyBorder="1" applyAlignment="1">
      <alignment horizontal="center" vertical="center" wrapText="1"/>
    </xf>
    <xf numFmtId="3" fontId="2" fillId="0" borderId="0" xfId="124" applyNumberFormat="1" applyFont="1" applyFill="1" applyAlignment="1">
      <alignment vertical="center"/>
      <protection/>
    </xf>
    <xf numFmtId="4" fontId="5" fillId="0" borderId="15" xfId="0" applyNumberFormat="1" applyFont="1" applyFill="1" applyBorder="1" applyAlignment="1">
      <alignment vertical="center"/>
    </xf>
    <xf numFmtId="4" fontId="0" fillId="0" borderId="15" xfId="70" applyNumberFormat="1" applyFont="1" applyFill="1" applyBorder="1" applyAlignment="1">
      <alignment horizontal="right" vertical="center"/>
    </xf>
    <xf numFmtId="0" fontId="11" fillId="0" borderId="15" xfId="15" applyFont="1" applyFill="1" applyBorder="1" applyAlignment="1">
      <alignment horizontal="center" vertical="center"/>
      <protection/>
    </xf>
    <xf numFmtId="4" fontId="11" fillId="0" borderId="15" xfId="0" applyNumberFormat="1" applyFont="1" applyFill="1" applyBorder="1" applyAlignment="1">
      <alignment vertical="center"/>
    </xf>
    <xf numFmtId="172" fontId="11" fillId="0" borderId="15" xfId="53" applyNumberFormat="1" applyFont="1" applyFill="1" applyBorder="1" applyAlignment="1">
      <alignment horizontal="right" vertical="center" wrapText="1"/>
    </xf>
    <xf numFmtId="3" fontId="11" fillId="0" borderId="15" xfId="0" applyNumberFormat="1" applyFont="1" applyFill="1" applyBorder="1" applyAlignment="1">
      <alignment horizontal="center" vertical="center" wrapText="1"/>
    </xf>
    <xf numFmtId="0" fontId="11" fillId="0" borderId="15" xfId="0" applyFont="1" applyFill="1" applyBorder="1" applyAlignment="1">
      <alignment horizontal="center" vertical="center" wrapText="1"/>
    </xf>
    <xf numFmtId="164" fontId="12" fillId="0" borderId="15" xfId="53" applyNumberFormat="1" applyFont="1" applyFill="1" applyBorder="1" applyAlignment="1">
      <alignment vertical="center"/>
    </xf>
    <xf numFmtId="4" fontId="59" fillId="0" borderId="0" xfId="123" applyNumberFormat="1" applyFont="1" applyFill="1" applyBorder="1" applyAlignment="1">
      <alignment vertical="center"/>
      <protection/>
    </xf>
    <xf numFmtId="0" fontId="12" fillId="0" borderId="15" xfId="15" applyFont="1" applyFill="1" applyBorder="1" applyAlignment="1">
      <alignment horizontal="center"/>
      <protection/>
    </xf>
    <xf numFmtId="172" fontId="12" fillId="0" borderId="15" xfId="53" applyNumberFormat="1" applyFont="1" applyFill="1" applyBorder="1" applyAlignment="1">
      <alignment horizontal="left" vertical="center" wrapText="1"/>
    </xf>
    <xf numFmtId="172" fontId="12" fillId="0" borderId="15" xfId="53" applyNumberFormat="1" applyFont="1" applyFill="1" applyBorder="1" applyAlignment="1">
      <alignment horizontal="center" vertical="center"/>
    </xf>
    <xf numFmtId="172" fontId="12" fillId="0" borderId="15" xfId="52" applyNumberFormat="1" applyFont="1" applyFill="1" applyBorder="1" applyAlignment="1">
      <alignment horizontal="right" wrapText="1"/>
    </xf>
    <xf numFmtId="172" fontId="12" fillId="0" borderId="15" xfId="0" applyNumberFormat="1" applyFont="1" applyFill="1" applyBorder="1" applyAlignment="1">
      <alignment vertical="center"/>
    </xf>
    <xf numFmtId="3" fontId="12" fillId="0" borderId="15" xfId="0" applyNumberFormat="1" applyFont="1" applyFill="1" applyBorder="1" applyAlignment="1">
      <alignment wrapText="1"/>
    </xf>
    <xf numFmtId="185" fontId="12" fillId="0" borderId="15" xfId="145" applyNumberFormat="1" applyFont="1" applyFill="1" applyBorder="1" applyAlignment="1">
      <alignment horizontal="right" vertical="center"/>
    </xf>
    <xf numFmtId="9" fontId="12" fillId="0" borderId="15" xfId="145" applyFont="1" applyFill="1" applyBorder="1" applyAlignment="1">
      <alignment horizontal="right" vertical="center"/>
    </xf>
    <xf numFmtId="172" fontId="12" fillId="0" borderId="15" xfId="53" applyNumberFormat="1" applyFont="1" applyFill="1" applyBorder="1" applyAlignment="1">
      <alignment horizontal="right" vertical="center"/>
    </xf>
    <xf numFmtId="164" fontId="60" fillId="0" borderId="15" xfId="69" applyFont="1" applyFill="1" applyBorder="1" applyAlignment="1">
      <alignment horizontal="right" vertical="center" wrapText="1"/>
    </xf>
    <xf numFmtId="181" fontId="60" fillId="0" borderId="0" xfId="123" applyNumberFormat="1" applyFont="1" applyFill="1" applyBorder="1" applyAlignment="1">
      <alignment vertical="center"/>
      <protection/>
    </xf>
    <xf numFmtId="2" fontId="60" fillId="0" borderId="0" xfId="123" applyNumberFormat="1" applyFont="1" applyFill="1" applyBorder="1" applyAlignment="1">
      <alignment vertical="center"/>
      <protection/>
    </xf>
    <xf numFmtId="3" fontId="12" fillId="0" borderId="15" xfId="0" applyNumberFormat="1" applyFont="1" applyFill="1" applyBorder="1" applyAlignment="1">
      <alignment horizontal="right" wrapText="1"/>
    </xf>
    <xf numFmtId="0" fontId="64" fillId="0" borderId="0" xfId="123" applyFont="1" applyFill="1" applyAlignment="1">
      <alignment vertical="center"/>
      <protection/>
    </xf>
    <xf numFmtId="172" fontId="12" fillId="0" borderId="15" xfId="53" applyNumberFormat="1" applyFont="1" applyFill="1" applyBorder="1" applyAlignment="1">
      <alignment vertical="center" wrapText="1"/>
    </xf>
    <xf numFmtId="4" fontId="12" fillId="0" borderId="15" xfId="70" applyNumberFormat="1" applyFont="1" applyFill="1" applyBorder="1" applyAlignment="1">
      <alignment horizontal="right" vertical="center" wrapText="1"/>
    </xf>
    <xf numFmtId="0" fontId="60" fillId="0" borderId="15" xfId="127" applyFont="1" applyFill="1" applyBorder="1" applyAlignment="1">
      <alignment vertical="center" wrapText="1"/>
      <protection/>
    </xf>
    <xf numFmtId="0" fontId="60" fillId="0" borderId="15" xfId="140" applyFont="1" applyFill="1" applyBorder="1" applyAlignment="1">
      <alignment horizontal="center" vertical="center"/>
      <protection/>
    </xf>
    <xf numFmtId="0" fontId="60" fillId="0" borderId="15" xfId="0" applyFont="1" applyFill="1" applyBorder="1" applyAlignment="1">
      <alignment vertical="center" wrapText="1"/>
    </xf>
    <xf numFmtId="4" fontId="60" fillId="0" borderId="15" xfId="70" applyNumberFormat="1" applyFont="1" applyFill="1" applyBorder="1" applyAlignment="1">
      <alignment horizontal="center" vertical="center" wrapText="1"/>
    </xf>
    <xf numFmtId="0" fontId="60" fillId="0" borderId="0" xfId="123" applyFont="1" applyFill="1" applyAlignment="1">
      <alignment vertical="center"/>
      <protection/>
    </xf>
    <xf numFmtId="172" fontId="12" fillId="0" borderId="15" xfId="53" applyNumberFormat="1" applyFont="1" applyFill="1" applyBorder="1" applyAlignment="1">
      <alignment horizontal="justify" vertical="center"/>
    </xf>
    <xf numFmtId="0" fontId="60" fillId="0" borderId="15" xfId="140" applyFont="1" applyFill="1" applyBorder="1" applyAlignment="1">
      <alignment horizontal="justify" vertical="center"/>
      <protection/>
    </xf>
    <xf numFmtId="0" fontId="60" fillId="0" borderId="15" xfId="127" applyFont="1" applyFill="1" applyBorder="1" applyAlignment="1">
      <alignment horizontal="center" vertical="center" wrapText="1"/>
      <protection/>
    </xf>
    <xf numFmtId="0" fontId="60" fillId="0" borderId="15" xfId="0" applyFont="1" applyFill="1" applyBorder="1" applyAlignment="1">
      <alignment horizontal="center" vertical="center" wrapText="1"/>
    </xf>
    <xf numFmtId="164" fontId="60" fillId="0" borderId="15" xfId="69" applyFont="1" applyFill="1" applyBorder="1" applyAlignment="1">
      <alignment horizontal="right"/>
    </xf>
    <xf numFmtId="164" fontId="60" fillId="0" borderId="15" xfId="69" applyNumberFormat="1" applyFont="1" applyFill="1" applyBorder="1" applyAlignment="1">
      <alignment horizontal="right"/>
    </xf>
    <xf numFmtId="164" fontId="60" fillId="0" borderId="15" xfId="69" applyFont="1" applyFill="1" applyBorder="1" applyAlignment="1">
      <alignment horizontal="right" vertical="center"/>
    </xf>
    <xf numFmtId="4" fontId="12" fillId="0" borderId="15" xfId="70" applyNumberFormat="1" applyFont="1" applyFill="1" applyBorder="1" applyAlignment="1">
      <alignment horizontal="right" vertical="center"/>
    </xf>
    <xf numFmtId="4" fontId="12" fillId="0" borderId="15" xfId="68" applyNumberFormat="1" applyFont="1" applyFill="1" applyBorder="1" applyAlignment="1">
      <alignment horizontal="right" vertical="center"/>
    </xf>
    <xf numFmtId="172" fontId="12" fillId="0" borderId="15" xfId="53" applyNumberFormat="1" applyFont="1" applyFill="1" applyBorder="1" applyAlignment="1" quotePrefix="1">
      <alignment vertical="center" wrapText="1"/>
    </xf>
    <xf numFmtId="172" fontId="58" fillId="0" borderId="15" xfId="53" applyNumberFormat="1" applyFont="1" applyFill="1" applyBorder="1" applyAlignment="1">
      <alignment vertical="center" wrapText="1"/>
    </xf>
    <xf numFmtId="172" fontId="12" fillId="0" borderId="15" xfId="53" applyNumberFormat="1" applyFont="1" applyFill="1" applyBorder="1" applyAlignment="1" quotePrefix="1">
      <alignment horizontal="left" vertical="center" wrapText="1"/>
    </xf>
    <xf numFmtId="172" fontId="11" fillId="0" borderId="15" xfId="53" applyNumberFormat="1" applyFont="1" applyFill="1" applyBorder="1" applyAlignment="1">
      <alignment horizontal="left" vertical="center" wrapText="1"/>
    </xf>
    <xf numFmtId="2" fontId="59" fillId="0" borderId="0" xfId="123" applyNumberFormat="1" applyFont="1" applyFill="1" applyBorder="1" applyAlignment="1">
      <alignment vertical="center"/>
      <protection/>
    </xf>
    <xf numFmtId="10" fontId="64" fillId="0" borderId="0" xfId="151" applyNumberFormat="1" applyFont="1" applyFill="1" applyBorder="1" applyAlignment="1">
      <alignment vertical="center"/>
    </xf>
    <xf numFmtId="164" fontId="64" fillId="0" borderId="0" xfId="123" applyNumberFormat="1" applyFont="1" applyFill="1" applyBorder="1" applyAlignment="1">
      <alignment vertical="center"/>
      <protection/>
    </xf>
    <xf numFmtId="4" fontId="54" fillId="0" borderId="31" xfId="123" applyNumberFormat="1" applyFont="1" applyFill="1" applyBorder="1" applyAlignment="1">
      <alignment horizontal="right" vertical="center"/>
      <protection/>
    </xf>
    <xf numFmtId="0" fontId="0" fillId="0" borderId="0" xfId="0" applyFont="1" applyAlignment="1">
      <alignment horizontal="center" vertical="center" wrapText="1"/>
    </xf>
    <xf numFmtId="0" fontId="0" fillId="0" borderId="21" xfId="0" applyFont="1" applyBorder="1" applyAlignment="1">
      <alignment horizontal="center" vertical="center"/>
    </xf>
    <xf numFmtId="0" fontId="0" fillId="0" borderId="15" xfId="0" applyFont="1" applyBorder="1" applyAlignment="1">
      <alignment horizontal="center" vertical="center"/>
    </xf>
    <xf numFmtId="2" fontId="0" fillId="34" borderId="15" xfId="0" applyNumberFormat="1" applyFont="1" applyFill="1" applyBorder="1" applyAlignment="1">
      <alignment horizontal="center" vertical="center"/>
    </xf>
    <xf numFmtId="1" fontId="0" fillId="34" borderId="15" xfId="0" applyNumberFormat="1" applyFont="1" applyFill="1" applyBorder="1" applyAlignment="1">
      <alignment horizontal="center" vertical="center"/>
    </xf>
    <xf numFmtId="0" fontId="0" fillId="34" borderId="15" xfId="0" applyFont="1" applyFill="1" applyBorder="1" applyAlignment="1">
      <alignment horizontal="center" vertical="center"/>
    </xf>
    <xf numFmtId="0" fontId="0" fillId="0" borderId="19" xfId="0" applyFont="1" applyBorder="1" applyAlignment="1">
      <alignment horizontal="center" vertical="center"/>
    </xf>
    <xf numFmtId="0" fontId="0" fillId="0" borderId="0" xfId="0" applyFont="1" applyBorder="1" applyAlignment="1">
      <alignment horizontal="center" vertical="center"/>
    </xf>
    <xf numFmtId="0" fontId="0" fillId="0" borderId="0" xfId="0" applyFont="1" applyBorder="1" applyAlignment="1">
      <alignment vertical="center"/>
    </xf>
    <xf numFmtId="4" fontId="3" fillId="0" borderId="15" xfId="52" applyNumberFormat="1" applyFont="1" applyFill="1" applyBorder="1" applyAlignment="1">
      <alignment horizontal="right" vertical="center" wrapText="1"/>
    </xf>
    <xf numFmtId="3" fontId="0" fillId="0" borderId="15" xfId="124" applyNumberFormat="1" applyFont="1" applyFill="1" applyBorder="1" applyAlignment="1">
      <alignment horizontal="right" vertical="center"/>
      <protection/>
    </xf>
    <xf numFmtId="4" fontId="0" fillId="0" borderId="15" xfId="124" applyNumberFormat="1" applyFont="1" applyFill="1" applyBorder="1" applyAlignment="1">
      <alignment horizontal="right" vertical="center"/>
      <protection/>
    </xf>
    <xf numFmtId="189" fontId="0" fillId="0" borderId="15" xfId="124" applyNumberFormat="1" applyFont="1" applyFill="1" applyBorder="1" applyAlignment="1">
      <alignment horizontal="right" vertical="center"/>
      <protection/>
    </xf>
    <xf numFmtId="182" fontId="0" fillId="0" borderId="15" xfId="124" applyNumberFormat="1" applyFont="1" applyFill="1" applyBorder="1" applyAlignment="1">
      <alignment horizontal="right" vertical="center"/>
      <protection/>
    </xf>
    <xf numFmtId="169" fontId="0" fillId="0" borderId="15" xfId="124" applyNumberFormat="1" applyFont="1" applyFill="1" applyBorder="1" applyAlignment="1">
      <alignment horizontal="right" vertical="center"/>
      <protection/>
    </xf>
    <xf numFmtId="4" fontId="0" fillId="0" borderId="15" xfId="69" applyNumberFormat="1" applyFont="1" applyFill="1" applyBorder="1" applyAlignment="1">
      <alignment horizontal="right" vertical="center"/>
    </xf>
    <xf numFmtId="187" fontId="5" fillId="0" borderId="15" xfId="124" applyNumberFormat="1" applyFont="1" applyFill="1" applyBorder="1" applyAlignment="1">
      <alignment horizontal="right" vertical="center"/>
      <protection/>
    </xf>
    <xf numFmtId="164" fontId="0" fillId="0" borderId="15" xfId="69" applyNumberFormat="1" applyFont="1" applyFill="1" applyBorder="1" applyAlignment="1">
      <alignment horizontal="right" vertical="center"/>
    </xf>
    <xf numFmtId="9" fontId="0" fillId="0" borderId="15" xfId="146" applyFont="1" applyFill="1" applyBorder="1" applyAlignment="1">
      <alignment horizontal="right" vertical="center"/>
    </xf>
    <xf numFmtId="3" fontId="53" fillId="0" borderId="15" xfId="69" applyNumberFormat="1" applyFont="1" applyFill="1" applyBorder="1" applyAlignment="1">
      <alignment horizontal="right" vertical="center"/>
    </xf>
    <xf numFmtId="3" fontId="0" fillId="0" borderId="15" xfId="69" applyNumberFormat="1" applyFont="1" applyFill="1" applyBorder="1" applyAlignment="1">
      <alignment horizontal="right" vertical="center"/>
    </xf>
    <xf numFmtId="4" fontId="5" fillId="0" borderId="15" xfId="70" applyNumberFormat="1" applyFont="1" applyFill="1" applyBorder="1" applyAlignment="1">
      <alignment horizontal="right" vertical="center"/>
    </xf>
    <xf numFmtId="169" fontId="5" fillId="0" borderId="15" xfId="0" applyNumberFormat="1" applyFont="1" applyFill="1" applyBorder="1" applyAlignment="1">
      <alignment horizontal="right" vertical="center"/>
    </xf>
    <xf numFmtId="4" fontId="0" fillId="0" borderId="15" xfId="70" applyNumberFormat="1" applyFont="1" applyFill="1" applyBorder="1" applyAlignment="1">
      <alignment horizontal="right" vertical="center" wrapText="1"/>
    </xf>
    <xf numFmtId="182" fontId="0" fillId="0" borderId="15" xfId="0" applyNumberFormat="1" applyFont="1" applyFill="1" applyBorder="1" applyAlignment="1">
      <alignment horizontal="right" vertical="center"/>
    </xf>
    <xf numFmtId="4" fontId="52" fillId="0" borderId="15" xfId="68" applyNumberFormat="1" applyFont="1" applyFill="1" applyBorder="1" applyAlignment="1">
      <alignment horizontal="right" vertical="center"/>
    </xf>
    <xf numFmtId="172" fontId="0" fillId="0" borderId="15" xfId="53" applyNumberFormat="1" applyFont="1" applyFill="1" applyBorder="1" applyAlignment="1">
      <alignment horizontal="right" vertical="center"/>
    </xf>
    <xf numFmtId="172" fontId="60" fillId="0" borderId="15" xfId="53" applyNumberFormat="1" applyFont="1" applyFill="1" applyBorder="1" applyAlignment="1">
      <alignment horizontal="right" vertical="center"/>
    </xf>
    <xf numFmtId="0" fontId="5" fillId="0" borderId="15" xfId="0" applyFont="1" applyFill="1" applyBorder="1" applyAlignment="1">
      <alignment horizontal="center" vertical="center" wrapText="1"/>
    </xf>
    <xf numFmtId="182" fontId="5" fillId="0" borderId="15" xfId="52" applyNumberFormat="1" applyFont="1" applyFill="1" applyBorder="1" applyAlignment="1">
      <alignment horizontal="right" vertical="center" wrapText="1"/>
    </xf>
    <xf numFmtId="4" fontId="63" fillId="0" borderId="15" xfId="52" applyNumberFormat="1" applyFont="1" applyFill="1" applyBorder="1" applyAlignment="1">
      <alignment horizontal="right" vertical="center" wrapText="1"/>
    </xf>
    <xf numFmtId="1" fontId="59" fillId="0" borderId="15" xfId="136" applyNumberFormat="1" applyFont="1" applyFill="1" applyBorder="1" applyAlignment="1">
      <alignment horizontal="right" vertical="center" wrapText="1"/>
      <protection/>
    </xf>
    <xf numFmtId="0" fontId="59" fillId="0" borderId="15" xfId="103" applyFont="1" applyFill="1" applyBorder="1" applyAlignment="1">
      <alignment horizontal="center" vertical="center"/>
      <protection/>
    </xf>
    <xf numFmtId="0" fontId="59" fillId="0" borderId="15" xfId="103" applyFont="1" applyFill="1" applyBorder="1" applyAlignment="1">
      <alignment vertical="center"/>
      <protection/>
    </xf>
    <xf numFmtId="0" fontId="59" fillId="0" borderId="15" xfId="103" applyFont="1" applyFill="1" applyBorder="1" applyAlignment="1">
      <alignment horizontal="right" vertical="center"/>
      <protection/>
    </xf>
    <xf numFmtId="0" fontId="0" fillId="0" borderId="0" xfId="103" applyFont="1" applyFill="1" applyBorder="1" applyAlignment="1">
      <alignment vertical="center"/>
      <protection/>
    </xf>
    <xf numFmtId="0" fontId="4" fillId="0" borderId="0" xfId="103" applyFont="1" applyFill="1">
      <alignment/>
      <protection/>
    </xf>
    <xf numFmtId="49" fontId="59" fillId="0" borderId="21" xfId="136" applyNumberFormat="1" applyFont="1" applyFill="1" applyBorder="1" applyAlignment="1">
      <alignment vertical="center" wrapText="1"/>
      <protection/>
    </xf>
    <xf numFmtId="0" fontId="59" fillId="0" borderId="15" xfId="138" applyFont="1" applyFill="1" applyBorder="1" applyAlignment="1">
      <alignment horizontal="left" vertical="center" wrapText="1"/>
      <protection/>
    </xf>
    <xf numFmtId="164" fontId="142" fillId="0" borderId="15" xfId="55" applyNumberFormat="1" applyFont="1" applyFill="1" applyBorder="1" applyAlignment="1">
      <alignment vertical="center" wrapText="1"/>
    </xf>
    <xf numFmtId="0" fontId="5" fillId="0" borderId="20" xfId="114" applyFont="1" applyFill="1" applyBorder="1" applyAlignment="1">
      <alignment horizontal="center" vertical="center" wrapText="1"/>
      <protection/>
    </xf>
    <xf numFmtId="0" fontId="59" fillId="0" borderId="20" xfId="114" applyFont="1" applyFill="1" applyBorder="1" applyAlignment="1">
      <alignment horizontal="center" vertical="center" wrapText="1"/>
      <protection/>
    </xf>
    <xf numFmtId="0" fontId="11" fillId="0" borderId="15" xfId="103" applyFont="1" applyFill="1" applyBorder="1" applyAlignment="1">
      <alignment horizontal="center" vertical="center"/>
      <protection/>
    </xf>
    <xf numFmtId="0" fontId="11" fillId="0" borderId="15" xfId="136" applyFont="1" applyFill="1" applyBorder="1" applyAlignment="1">
      <alignment horizontal="center" vertical="center" wrapText="1"/>
      <protection/>
    </xf>
    <xf numFmtId="0" fontId="59" fillId="0" borderId="15" xfId="136" applyFont="1" applyFill="1" applyBorder="1" applyAlignment="1">
      <alignment horizontal="center" vertical="center" wrapText="1"/>
      <protection/>
    </xf>
    <xf numFmtId="0" fontId="11" fillId="33" borderId="15" xfId="138" applyFont="1" applyFill="1" applyBorder="1" applyAlignment="1">
      <alignment horizontal="center" vertical="center" wrapText="1"/>
      <protection/>
    </xf>
    <xf numFmtId="0" fontId="59" fillId="0" borderId="15" xfId="138" applyFont="1" applyFill="1" applyBorder="1" applyAlignment="1">
      <alignment horizontal="center" vertical="center" wrapText="1"/>
      <protection/>
    </xf>
    <xf numFmtId="0" fontId="59" fillId="0" borderId="32" xfId="123" applyFont="1" applyFill="1" applyBorder="1" applyAlignment="1">
      <alignment horizontal="center" vertical="center" wrapText="1"/>
      <protection/>
    </xf>
    <xf numFmtId="0" fontId="54" fillId="0" borderId="15" xfId="103" applyFont="1" applyFill="1" applyBorder="1" applyAlignment="1">
      <alignment horizontal="center" vertical="center"/>
      <protection/>
    </xf>
    <xf numFmtId="0" fontId="78" fillId="0" borderId="15" xfId="103" applyFont="1" applyFill="1" applyBorder="1" applyAlignment="1">
      <alignment horizontal="center" vertical="center"/>
      <protection/>
    </xf>
    <xf numFmtId="3" fontId="78" fillId="0" borderId="15" xfId="103" applyNumberFormat="1" applyFont="1" applyFill="1" applyBorder="1" applyAlignment="1">
      <alignment horizontal="right" vertical="center"/>
      <protection/>
    </xf>
    <xf numFmtId="169" fontId="78" fillId="0" borderId="15" xfId="103" applyNumberFormat="1" applyFont="1" applyFill="1" applyBorder="1" applyAlignment="1">
      <alignment horizontal="right" vertical="center"/>
      <protection/>
    </xf>
    <xf numFmtId="0" fontId="84" fillId="0" borderId="15" xfId="103" applyFont="1" applyFill="1" applyBorder="1" applyAlignment="1">
      <alignment horizontal="center" vertical="center"/>
      <protection/>
    </xf>
    <xf numFmtId="0" fontId="84" fillId="0" borderId="15" xfId="138" applyFont="1" applyFill="1" applyBorder="1" applyAlignment="1">
      <alignment horizontal="left" vertical="center" wrapText="1"/>
      <protection/>
    </xf>
    <xf numFmtId="3" fontId="84" fillId="0" borderId="15" xfId="103" applyNumberFormat="1" applyFont="1" applyFill="1" applyBorder="1" applyAlignment="1">
      <alignment vertical="center" wrapText="1"/>
      <protection/>
    </xf>
    <xf numFmtId="169" fontId="84" fillId="0" borderId="15" xfId="103" applyNumberFormat="1" applyFont="1" applyFill="1" applyBorder="1" applyAlignment="1">
      <alignment horizontal="right" vertical="center"/>
      <protection/>
    </xf>
    <xf numFmtId="0" fontId="59" fillId="0" borderId="15" xfId="138" applyFont="1" applyFill="1" applyBorder="1" applyAlignment="1">
      <alignment horizontal="center" vertical="center"/>
      <protection/>
    </xf>
    <xf numFmtId="3" fontId="84" fillId="0" borderId="15" xfId="103" applyNumberFormat="1" applyFont="1" applyFill="1" applyBorder="1" applyAlignment="1">
      <alignment horizontal="right" vertical="center"/>
      <protection/>
    </xf>
    <xf numFmtId="169" fontId="59" fillId="0" borderId="15" xfId="103" applyNumberFormat="1" applyFont="1" applyFill="1" applyBorder="1" applyAlignment="1">
      <alignment horizontal="right" vertical="center"/>
      <protection/>
    </xf>
    <xf numFmtId="0" fontId="84" fillId="0" borderId="15" xfId="103" applyFont="1" applyFill="1" applyBorder="1" applyAlignment="1">
      <alignment vertical="center" wrapText="1"/>
      <protection/>
    </xf>
    <xf numFmtId="169" fontId="54" fillId="0" borderId="15" xfId="103" applyNumberFormat="1" applyFont="1" applyFill="1" applyBorder="1" applyAlignment="1">
      <alignment horizontal="right" vertical="center"/>
      <protection/>
    </xf>
    <xf numFmtId="1" fontId="54" fillId="0" borderId="15" xfId="103" applyNumberFormat="1" applyFont="1" applyFill="1" applyBorder="1" applyAlignment="1">
      <alignment vertical="center" wrapText="1"/>
      <protection/>
    </xf>
    <xf numFmtId="0" fontId="54" fillId="0" borderId="15" xfId="103" applyFont="1" applyFill="1" applyBorder="1" applyAlignment="1" quotePrefix="1">
      <alignment vertical="center" wrapText="1"/>
      <protection/>
    </xf>
    <xf numFmtId="3" fontId="54" fillId="0" borderId="15" xfId="103" applyNumberFormat="1" applyFont="1" applyFill="1" applyBorder="1" applyAlignment="1">
      <alignment vertical="center" wrapText="1"/>
      <protection/>
    </xf>
    <xf numFmtId="3" fontId="54" fillId="0" borderId="15" xfId="103" applyNumberFormat="1" applyFont="1" applyFill="1" applyBorder="1" applyAlignment="1">
      <alignment horizontal="right" vertical="center"/>
      <protection/>
    </xf>
    <xf numFmtId="3" fontId="59" fillId="0" borderId="15" xfId="103" applyNumberFormat="1" applyFont="1" applyFill="1" applyBorder="1" applyAlignment="1">
      <alignment vertical="center"/>
      <protection/>
    </xf>
    <xf numFmtId="169" fontId="59" fillId="0" borderId="15" xfId="103" applyNumberFormat="1" applyFont="1" applyFill="1" applyBorder="1" applyAlignment="1">
      <alignment horizontal="right" vertical="center"/>
      <protection/>
    </xf>
    <xf numFmtId="0" fontId="84" fillId="0" borderId="15" xfId="103" applyFont="1" applyFill="1" applyBorder="1" applyAlignment="1" quotePrefix="1">
      <alignment vertical="center" wrapText="1"/>
      <protection/>
    </xf>
    <xf numFmtId="169" fontId="84" fillId="0" borderId="15" xfId="103" applyNumberFormat="1" applyFont="1" applyFill="1" applyBorder="1" applyAlignment="1">
      <alignment horizontal="right" vertical="center"/>
      <protection/>
    </xf>
    <xf numFmtId="0" fontId="84" fillId="0" borderId="15" xfId="103" applyNumberFormat="1" applyFont="1" applyFill="1" applyBorder="1" applyAlignment="1">
      <alignment vertical="center"/>
      <protection/>
    </xf>
    <xf numFmtId="3" fontId="59" fillId="0" borderId="15" xfId="103" applyNumberFormat="1" applyFont="1" applyFill="1" applyBorder="1" applyAlignment="1">
      <alignment horizontal="right" vertical="center"/>
      <protection/>
    </xf>
    <xf numFmtId="0" fontId="84" fillId="0" borderId="15" xfId="138" applyFont="1" applyFill="1" applyBorder="1" applyAlignment="1">
      <alignment horizontal="center" vertical="center"/>
      <protection/>
    </xf>
    <xf numFmtId="3" fontId="84" fillId="0" borderId="15" xfId="103" applyNumberFormat="1" applyFont="1" applyFill="1" applyBorder="1" applyAlignment="1">
      <alignment horizontal="right" vertical="center"/>
      <protection/>
    </xf>
    <xf numFmtId="0" fontId="66" fillId="0" borderId="15" xfId="103" applyFont="1" applyFill="1" applyBorder="1" applyAlignment="1">
      <alignment horizontal="center" vertical="center"/>
      <protection/>
    </xf>
    <xf numFmtId="0" fontId="66" fillId="0" borderId="15" xfId="138" applyFont="1" applyFill="1" applyBorder="1" applyAlignment="1">
      <alignment horizontal="left" vertical="center" wrapText="1"/>
      <protection/>
    </xf>
    <xf numFmtId="3" fontId="66" fillId="0" borderId="15" xfId="103" applyNumberFormat="1" applyFont="1" applyFill="1" applyBorder="1" applyAlignment="1">
      <alignment horizontal="right" vertical="center"/>
      <protection/>
    </xf>
    <xf numFmtId="169" fontId="54" fillId="0" borderId="15" xfId="103" applyNumberFormat="1" applyFont="1" applyFill="1" applyBorder="1" applyAlignment="1">
      <alignment horizontal="right" vertical="center"/>
      <protection/>
    </xf>
    <xf numFmtId="0" fontId="54" fillId="0" borderId="15" xfId="138" applyFont="1" applyFill="1" applyBorder="1" applyAlignment="1">
      <alignment horizontal="left" vertical="center" wrapText="1"/>
      <protection/>
    </xf>
    <xf numFmtId="0" fontId="54" fillId="0" borderId="15" xfId="138" applyFont="1" applyFill="1" applyBorder="1" applyAlignment="1">
      <alignment horizontal="center" vertical="center"/>
      <protection/>
    </xf>
    <xf numFmtId="3" fontId="66" fillId="0" borderId="15" xfId="103" applyNumberFormat="1" applyFont="1" applyFill="1" applyBorder="1" applyAlignment="1">
      <alignment horizontal="right" vertical="center"/>
      <protection/>
    </xf>
    <xf numFmtId="0" fontId="54" fillId="0" borderId="15" xfId="138" applyFont="1" applyFill="1" applyBorder="1" applyAlignment="1" quotePrefix="1">
      <alignment horizontal="center" vertical="center"/>
      <protection/>
    </xf>
    <xf numFmtId="0" fontId="147" fillId="33" borderId="15" xfId="138" applyFont="1" applyFill="1" applyBorder="1" applyAlignment="1">
      <alignment horizontal="center" vertical="center"/>
      <protection/>
    </xf>
    <xf numFmtId="0" fontId="147" fillId="33" borderId="15" xfId="138" applyFont="1" applyFill="1" applyBorder="1" applyAlignment="1">
      <alignment horizontal="left" vertical="center" wrapText="1"/>
      <protection/>
    </xf>
    <xf numFmtId="0" fontId="147" fillId="33" borderId="15" xfId="138" applyFont="1" applyFill="1" applyBorder="1" applyAlignment="1">
      <alignment horizontal="center" vertical="center" wrapText="1"/>
      <protection/>
    </xf>
    <xf numFmtId="192" fontId="148" fillId="0" borderId="15" xfId="61" applyNumberFormat="1" applyFont="1" applyFill="1" applyBorder="1" applyAlignment="1">
      <alignment vertical="center" wrapText="1"/>
    </xf>
    <xf numFmtId="181" fontId="148" fillId="0" borderId="15" xfId="135" applyNumberFormat="1" applyFont="1" applyFill="1" applyBorder="1" applyAlignment="1">
      <alignment vertical="center" wrapText="1"/>
      <protection/>
    </xf>
    <xf numFmtId="181" fontId="148" fillId="0" borderId="15" xfId="138" applyNumberFormat="1" applyFont="1" applyFill="1" applyBorder="1" applyAlignment="1">
      <alignment vertical="center" wrapText="1"/>
      <protection/>
    </xf>
    <xf numFmtId="0" fontId="149" fillId="0" borderId="0" xfId="103" applyFont="1">
      <alignment/>
      <protection/>
    </xf>
    <xf numFmtId="192" fontId="144" fillId="0" borderId="15" xfId="61" applyNumberFormat="1" applyFont="1" applyFill="1" applyBorder="1" applyAlignment="1">
      <alignment vertical="center" wrapText="1"/>
    </xf>
    <xf numFmtId="181" fontId="144" fillId="0" borderId="15" xfId="135" applyNumberFormat="1" applyFont="1" applyFill="1" applyBorder="1" applyAlignment="1">
      <alignment vertical="center" wrapText="1"/>
      <protection/>
    </xf>
    <xf numFmtId="169" fontId="144" fillId="0" borderId="15" xfId="138" applyNumberFormat="1" applyFont="1" applyFill="1" applyBorder="1" applyAlignment="1">
      <alignment vertical="center" wrapText="1"/>
      <protection/>
    </xf>
    <xf numFmtId="192" fontId="144" fillId="0" borderId="15" xfId="135" applyNumberFormat="1" applyFont="1" applyFill="1" applyBorder="1" applyAlignment="1">
      <alignment vertical="center" wrapText="1"/>
      <protection/>
    </xf>
    <xf numFmtId="169" fontId="144" fillId="0" borderId="15" xfId="135" applyNumberFormat="1" applyFont="1" applyFill="1" applyBorder="1" applyAlignment="1">
      <alignment vertical="center" wrapText="1"/>
      <protection/>
    </xf>
    <xf numFmtId="4" fontId="144" fillId="0" borderId="15" xfId="138" applyNumberFormat="1" applyFont="1" applyFill="1" applyBorder="1" applyAlignment="1">
      <alignment vertical="center" wrapText="1"/>
      <protection/>
    </xf>
    <xf numFmtId="192" fontId="148" fillId="0" borderId="15" xfId="138" applyNumberFormat="1" applyFont="1" applyFill="1" applyBorder="1" applyAlignment="1">
      <alignment vertical="center" wrapText="1"/>
      <protection/>
    </xf>
    <xf numFmtId="193" fontId="148" fillId="0" borderId="15" xfId="61" applyNumberFormat="1" applyFont="1" applyFill="1" applyBorder="1" applyAlignment="1">
      <alignment vertical="center" wrapText="1"/>
    </xf>
    <xf numFmtId="172" fontId="148" fillId="0" borderId="15" xfId="61" applyNumberFormat="1" applyFont="1" applyFill="1" applyBorder="1" applyAlignment="1">
      <alignment vertical="center" wrapText="1"/>
    </xf>
    <xf numFmtId="0" fontId="150" fillId="33" borderId="15" xfId="138" applyFont="1" applyFill="1" applyBorder="1" applyAlignment="1">
      <alignment horizontal="center" vertical="center"/>
      <protection/>
    </xf>
    <xf numFmtId="2" fontId="142" fillId="0" borderId="10" xfId="61" applyNumberFormat="1" applyFont="1" applyFill="1" applyBorder="1" applyAlignment="1">
      <alignment vertical="center" wrapText="1"/>
    </xf>
    <xf numFmtId="181" fontId="150" fillId="0" borderId="13" xfId="103" applyNumberFormat="1" applyFont="1" applyFill="1" applyBorder="1" applyAlignment="1" applyProtection="1">
      <alignment vertical="center" wrapText="1"/>
      <protection/>
    </xf>
    <xf numFmtId="0" fontId="0" fillId="0" borderId="15" xfId="124" applyFont="1" applyFill="1" applyBorder="1" applyAlignment="1">
      <alignment horizontal="center" vertical="center" wrapText="1"/>
      <protection/>
    </xf>
    <xf numFmtId="172" fontId="11" fillId="0" borderId="15" xfId="53" applyNumberFormat="1" applyFont="1" applyFill="1" applyBorder="1" applyAlignment="1">
      <alignment horizontal="center" vertical="center" wrapText="1"/>
    </xf>
    <xf numFmtId="172" fontId="11" fillId="0" borderId="15" xfId="53" applyNumberFormat="1" applyFont="1" applyFill="1" applyBorder="1" applyAlignment="1">
      <alignment horizontal="center" vertical="center"/>
    </xf>
    <xf numFmtId="4" fontId="151" fillId="0" borderId="15" xfId="50" applyNumberFormat="1" applyFont="1" applyFill="1" applyBorder="1" applyAlignment="1">
      <alignment horizontal="right" vertical="center" wrapText="1"/>
    </xf>
    <xf numFmtId="4" fontId="152" fillId="0" borderId="15" xfId="50" applyNumberFormat="1" applyFont="1" applyFill="1" applyBorder="1" applyAlignment="1">
      <alignment horizontal="right" vertical="center" wrapText="1"/>
    </xf>
    <xf numFmtId="4" fontId="152" fillId="0" borderId="15" xfId="52" applyNumberFormat="1" applyFont="1" applyFill="1" applyBorder="1" applyAlignment="1">
      <alignment horizontal="right" vertical="center" wrapText="1"/>
    </xf>
    <xf numFmtId="4" fontId="153" fillId="0" borderId="15" xfId="52" applyNumberFormat="1" applyFont="1" applyFill="1" applyBorder="1" applyAlignment="1">
      <alignment horizontal="right" vertical="center" wrapText="1"/>
    </xf>
    <xf numFmtId="4" fontId="153" fillId="0" borderId="15" xfId="52" applyNumberFormat="1" applyFont="1" applyFill="1" applyBorder="1" applyAlignment="1">
      <alignment horizontal="right" vertical="center"/>
    </xf>
    <xf numFmtId="182" fontId="154" fillId="0" borderId="15" xfId="124" applyNumberFormat="1" applyFont="1" applyFill="1" applyBorder="1" applyAlignment="1">
      <alignment horizontal="right" vertical="center"/>
      <protection/>
    </xf>
    <xf numFmtId="4" fontId="154" fillId="0" borderId="15" xfId="124" applyNumberFormat="1" applyFont="1" applyFill="1" applyBorder="1" applyAlignment="1">
      <alignment horizontal="right" vertical="center"/>
      <protection/>
    </xf>
    <xf numFmtId="49" fontId="11" fillId="0" borderId="0" xfId="52" applyNumberFormat="1" applyFont="1" applyFill="1" applyAlignment="1">
      <alignment vertical="center"/>
    </xf>
    <xf numFmtId="49" fontId="12" fillId="0" borderId="0" xfId="52" applyNumberFormat="1" applyFont="1" applyFill="1" applyAlignment="1">
      <alignment vertical="center"/>
    </xf>
    <xf numFmtId="49" fontId="12" fillId="0" borderId="0" xfId="52" applyNumberFormat="1" applyFont="1" applyFill="1" applyAlignment="1">
      <alignment horizontal="center" vertical="center"/>
    </xf>
    <xf numFmtId="0" fontId="11" fillId="0" borderId="0" xfId="0" applyFont="1" applyFill="1" applyAlignment="1">
      <alignment horizontal="center" vertical="center" wrapText="1"/>
    </xf>
    <xf numFmtId="43" fontId="11" fillId="0" borderId="0" xfId="0" applyNumberFormat="1" applyFont="1" applyFill="1" applyAlignment="1">
      <alignment vertical="center"/>
    </xf>
    <xf numFmtId="0" fontId="11" fillId="0" borderId="0" xfId="0" applyFont="1" applyFill="1" applyAlignment="1">
      <alignment vertical="center"/>
    </xf>
    <xf numFmtId="0" fontId="11" fillId="0" borderId="15" xfId="0" applyFont="1" applyFill="1" applyBorder="1" applyAlignment="1">
      <alignment horizontal="center" vertical="center"/>
    </xf>
    <xf numFmtId="49" fontId="11" fillId="0" borderId="15" xfId="52" applyNumberFormat="1" applyFont="1" applyFill="1" applyBorder="1" applyAlignment="1">
      <alignment horizontal="center" vertical="center"/>
    </xf>
    <xf numFmtId="188" fontId="11" fillId="0" borderId="15" xfId="52" applyNumberFormat="1" applyFont="1" applyFill="1" applyBorder="1" applyAlignment="1">
      <alignment vertical="center"/>
    </xf>
    <xf numFmtId="188" fontId="64" fillId="0" borderId="15" xfId="52" applyNumberFormat="1" applyFont="1" applyFill="1" applyBorder="1" applyAlignment="1">
      <alignment vertical="center"/>
    </xf>
    <xf numFmtId="188" fontId="64" fillId="0" borderId="15" xfId="52" applyNumberFormat="1" applyFont="1" applyFill="1" applyBorder="1" applyAlignment="1">
      <alignment horizontal="center" vertical="center"/>
    </xf>
    <xf numFmtId="188" fontId="60" fillId="0" borderId="15" xfId="52" applyNumberFormat="1" applyFont="1" applyFill="1" applyBorder="1" applyAlignment="1">
      <alignment vertical="center"/>
    </xf>
    <xf numFmtId="188" fontId="11" fillId="0" borderId="0" xfId="52" applyNumberFormat="1" applyFont="1" applyFill="1" applyAlignment="1">
      <alignment vertical="center"/>
    </xf>
    <xf numFmtId="43" fontId="64" fillId="0" borderId="15" xfId="52" applyNumberFormat="1" applyFont="1" applyFill="1" applyBorder="1" applyAlignment="1">
      <alignment vertical="center"/>
    </xf>
    <xf numFmtId="43" fontId="60" fillId="0" borderId="15" xfId="52" applyNumberFormat="1" applyFont="1" applyFill="1" applyBorder="1" applyAlignment="1">
      <alignment vertical="center"/>
    </xf>
    <xf numFmtId="188" fontId="11" fillId="0" borderId="15" xfId="52" applyNumberFormat="1" applyFont="1" applyFill="1" applyBorder="1" applyAlignment="1">
      <alignment vertical="center" wrapText="1"/>
    </xf>
    <xf numFmtId="198" fontId="60" fillId="0" borderId="15" xfId="52" applyNumberFormat="1" applyFont="1" applyFill="1" applyBorder="1" applyAlignment="1">
      <alignment vertical="center"/>
    </xf>
    <xf numFmtId="49" fontId="12" fillId="0" borderId="15" xfId="52" applyNumberFormat="1" applyFont="1" applyFill="1" applyBorder="1" applyAlignment="1">
      <alignment horizontal="center" vertical="center"/>
    </xf>
    <xf numFmtId="188" fontId="12" fillId="0" borderId="15" xfId="52" applyNumberFormat="1" applyFont="1" applyFill="1" applyBorder="1" applyAlignment="1">
      <alignment vertical="center"/>
    </xf>
    <xf numFmtId="184" fontId="60" fillId="0" borderId="15" xfId="52" applyNumberFormat="1" applyFont="1" applyFill="1" applyBorder="1" applyAlignment="1">
      <alignment vertical="center"/>
    </xf>
    <xf numFmtId="188" fontId="12" fillId="0" borderId="0" xfId="52" applyNumberFormat="1" applyFont="1" applyFill="1" applyAlignment="1">
      <alignment vertical="center"/>
    </xf>
    <xf numFmtId="49" fontId="58" fillId="0" borderId="15" xfId="52" applyNumberFormat="1" applyFont="1" applyFill="1" applyBorder="1" applyAlignment="1">
      <alignment horizontal="center" vertical="center"/>
    </xf>
    <xf numFmtId="188" fontId="58" fillId="0" borderId="15" xfId="52" applyNumberFormat="1" applyFont="1" applyFill="1" applyBorder="1" applyAlignment="1">
      <alignment vertical="center"/>
    </xf>
    <xf numFmtId="184" fontId="65" fillId="0" borderId="15" xfId="52" applyNumberFormat="1" applyFont="1" applyFill="1" applyBorder="1" applyAlignment="1">
      <alignment vertical="center"/>
    </xf>
    <xf numFmtId="188" fontId="58" fillId="0" borderId="0" xfId="52" applyNumberFormat="1" applyFont="1" applyFill="1" applyAlignment="1">
      <alignment vertical="center"/>
    </xf>
    <xf numFmtId="188" fontId="58" fillId="0" borderId="15" xfId="52" applyNumberFormat="1" applyFont="1" applyFill="1" applyBorder="1" applyAlignment="1">
      <alignment vertical="center" wrapText="1"/>
    </xf>
    <xf numFmtId="188" fontId="65" fillId="0" borderId="15" xfId="52" applyNumberFormat="1" applyFont="1" applyFill="1" applyBorder="1" applyAlignment="1">
      <alignment vertical="center"/>
    </xf>
    <xf numFmtId="43" fontId="64" fillId="0" borderId="15" xfId="52" applyNumberFormat="1" applyFont="1" applyFill="1" applyBorder="1" applyAlignment="1">
      <alignment horizontal="center" vertical="center"/>
    </xf>
    <xf numFmtId="199" fontId="11" fillId="0" borderId="0" xfId="52" applyNumberFormat="1" applyFont="1" applyFill="1" applyAlignment="1">
      <alignment vertical="center"/>
    </xf>
    <xf numFmtId="188" fontId="12" fillId="0" borderId="15" xfId="52" applyNumberFormat="1" applyFont="1" applyFill="1" applyBorder="1" applyAlignment="1">
      <alignment horizontal="center" vertical="center"/>
    </xf>
    <xf numFmtId="188" fontId="60" fillId="0" borderId="15" xfId="52" applyNumberFormat="1" applyFont="1" applyFill="1" applyBorder="1" applyAlignment="1">
      <alignment horizontal="right" vertical="center" wrapText="1"/>
    </xf>
    <xf numFmtId="43" fontId="60" fillId="0" borderId="15" xfId="52" applyNumberFormat="1" applyFont="1" applyFill="1" applyBorder="1" applyAlignment="1">
      <alignment horizontal="center" vertical="center"/>
    </xf>
    <xf numFmtId="43" fontId="60" fillId="0" borderId="15" xfId="52" applyNumberFormat="1" applyFont="1" applyFill="1" applyBorder="1" applyAlignment="1">
      <alignment horizontal="right" vertical="center" wrapText="1"/>
    </xf>
    <xf numFmtId="184" fontId="60" fillId="0" borderId="15" xfId="52" applyNumberFormat="1" applyFont="1" applyFill="1" applyBorder="1" applyAlignment="1">
      <alignment horizontal="right" vertical="center" wrapText="1"/>
    </xf>
    <xf numFmtId="188" fontId="64" fillId="0" borderId="15" xfId="52" applyNumberFormat="1" applyFont="1" applyFill="1" applyBorder="1" applyAlignment="1">
      <alignment horizontal="right" vertical="center" wrapText="1"/>
    </xf>
    <xf numFmtId="49" fontId="70" fillId="0" borderId="15" xfId="52" applyNumberFormat="1" applyFont="1" applyFill="1" applyBorder="1" applyAlignment="1">
      <alignment horizontal="center" vertical="center"/>
    </xf>
    <xf numFmtId="188" fontId="77" fillId="0" borderId="15" xfId="52" applyNumberFormat="1" applyFont="1" applyFill="1" applyBorder="1" applyAlignment="1">
      <alignment vertical="center"/>
    </xf>
    <xf numFmtId="188" fontId="70" fillId="0" borderId="0" xfId="52" applyNumberFormat="1" applyFont="1" applyFill="1" applyAlignment="1">
      <alignment vertical="center"/>
    </xf>
    <xf numFmtId="188" fontId="70" fillId="0" borderId="15" xfId="52" applyNumberFormat="1" applyFont="1" applyFill="1" applyBorder="1" applyAlignment="1">
      <alignment vertical="center"/>
    </xf>
    <xf numFmtId="184" fontId="64" fillId="0" borderId="15" xfId="52" applyNumberFormat="1" applyFont="1" applyFill="1" applyBorder="1" applyAlignment="1">
      <alignment horizontal="center" vertical="center"/>
    </xf>
    <xf numFmtId="184" fontId="64" fillId="0" borderId="15" xfId="52" applyNumberFormat="1" applyFont="1" applyFill="1" applyBorder="1" applyAlignment="1">
      <alignment vertical="center"/>
    </xf>
    <xf numFmtId="198" fontId="64" fillId="0" borderId="15" xfId="52" applyNumberFormat="1" applyFont="1" applyFill="1" applyBorder="1" applyAlignment="1">
      <alignment vertical="center"/>
    </xf>
    <xf numFmtId="188" fontId="11" fillId="0" borderId="0" xfId="52" applyNumberFormat="1" applyFont="1" applyFill="1" applyBorder="1" applyAlignment="1">
      <alignment vertical="center"/>
    </xf>
    <xf numFmtId="199" fontId="12" fillId="0" borderId="0" xfId="52" applyNumberFormat="1" applyFont="1" applyFill="1" applyBorder="1" applyAlignment="1">
      <alignment vertical="center"/>
    </xf>
    <xf numFmtId="188" fontId="12" fillId="0" borderId="0" xfId="52" applyNumberFormat="1" applyFont="1" applyFill="1" applyBorder="1" applyAlignment="1">
      <alignment vertical="center"/>
    </xf>
    <xf numFmtId="184" fontId="60" fillId="0" borderId="15" xfId="52" applyNumberFormat="1" applyFont="1" applyFill="1" applyBorder="1" applyAlignment="1">
      <alignment horizontal="left" vertical="center"/>
    </xf>
    <xf numFmtId="0" fontId="12" fillId="0" borderId="15" xfId="0" applyFont="1" applyFill="1" applyBorder="1" applyAlignment="1">
      <alignment horizontal="center"/>
    </xf>
    <xf numFmtId="0" fontId="12" fillId="0" borderId="15" xfId="0" applyFont="1" applyFill="1" applyBorder="1" applyAlignment="1">
      <alignment/>
    </xf>
    <xf numFmtId="175" fontId="12" fillId="0" borderId="15" xfId="52" applyNumberFormat="1" applyFont="1" applyFill="1" applyBorder="1" applyAlignment="1">
      <alignment/>
    </xf>
    <xf numFmtId="164" fontId="12" fillId="0" borderId="0" xfId="0" applyNumberFormat="1" applyFont="1" applyFill="1" applyAlignment="1">
      <alignment/>
    </xf>
    <xf numFmtId="0" fontId="25" fillId="0" borderId="0" xfId="0" applyFont="1" applyFill="1" applyAlignment="1">
      <alignment/>
    </xf>
    <xf numFmtId="172" fontId="12" fillId="0" borderId="15" xfId="52" applyNumberFormat="1" applyFont="1" applyFill="1" applyBorder="1" applyAlignment="1">
      <alignment/>
    </xf>
    <xf numFmtId="0" fontId="12" fillId="0" borderId="0" xfId="0" applyFont="1" applyFill="1" applyAlignment="1">
      <alignment/>
    </xf>
    <xf numFmtId="200" fontId="12" fillId="0" borderId="0" xfId="0" applyNumberFormat="1" applyFont="1" applyFill="1" applyAlignment="1">
      <alignment/>
    </xf>
    <xf numFmtId="0" fontId="12" fillId="0" borderId="15" xfId="0" applyFont="1" applyFill="1" applyBorder="1" applyAlignment="1">
      <alignment/>
    </xf>
    <xf numFmtId="188" fontId="60" fillId="0" borderId="15" xfId="52" applyNumberFormat="1" applyFont="1" applyFill="1" applyBorder="1" applyAlignment="1">
      <alignment horizontal="center" vertical="center"/>
    </xf>
    <xf numFmtId="43" fontId="11" fillId="0" borderId="0" xfId="52" applyNumberFormat="1" applyFont="1" applyFill="1" applyAlignment="1">
      <alignment vertical="center"/>
    </xf>
    <xf numFmtId="188" fontId="12" fillId="0" borderId="15" xfId="52" applyNumberFormat="1" applyFont="1" applyFill="1" applyBorder="1" applyAlignment="1">
      <alignment horizontal="justify" vertical="center" wrapText="1"/>
    </xf>
    <xf numFmtId="188" fontId="60" fillId="0" borderId="15" xfId="52" applyNumberFormat="1" applyFont="1" applyFill="1" applyBorder="1" applyAlignment="1">
      <alignment horizontal="left" vertical="center"/>
    </xf>
    <xf numFmtId="188" fontId="12" fillId="0" borderId="15" xfId="52" applyNumberFormat="1" applyFont="1" applyFill="1" applyBorder="1" applyAlignment="1">
      <alignment/>
    </xf>
    <xf numFmtId="43" fontId="60" fillId="0" borderId="15" xfId="52" applyNumberFormat="1" applyFont="1" applyFill="1" applyBorder="1" applyAlignment="1">
      <alignment/>
    </xf>
    <xf numFmtId="188" fontId="60" fillId="0" borderId="15" xfId="52" applyNumberFormat="1" applyFont="1" applyFill="1" applyBorder="1" applyAlignment="1">
      <alignment/>
    </xf>
    <xf numFmtId="188" fontId="12" fillId="0" borderId="0" xfId="52" applyNumberFormat="1" applyFont="1" applyFill="1" applyAlignment="1">
      <alignment/>
    </xf>
    <xf numFmtId="49" fontId="12" fillId="0" borderId="0" xfId="52" applyNumberFormat="1" applyFont="1" applyFill="1" applyBorder="1" applyAlignment="1">
      <alignment horizontal="center" vertical="center"/>
    </xf>
    <xf numFmtId="188" fontId="12" fillId="0" borderId="0" xfId="52" applyNumberFormat="1" applyFont="1" applyFill="1" applyBorder="1" applyAlignment="1">
      <alignment/>
    </xf>
    <xf numFmtId="43" fontId="60" fillId="0" borderId="0" xfId="52" applyNumberFormat="1" applyFont="1" applyFill="1" applyBorder="1" applyAlignment="1">
      <alignment/>
    </xf>
    <xf numFmtId="43" fontId="60" fillId="0" borderId="0" xfId="52" applyNumberFormat="1" applyFont="1" applyFill="1" applyBorder="1" applyAlignment="1">
      <alignment horizontal="center"/>
    </xf>
    <xf numFmtId="43" fontId="60" fillId="0" borderId="0" xfId="52" applyNumberFormat="1" applyFont="1" applyFill="1" applyBorder="1" applyAlignment="1">
      <alignment vertical="center"/>
    </xf>
    <xf numFmtId="188" fontId="60" fillId="0" borderId="0" xfId="52" applyNumberFormat="1" applyFont="1" applyFill="1" applyBorder="1" applyAlignment="1">
      <alignment/>
    </xf>
    <xf numFmtId="198" fontId="60" fillId="0" borderId="0" xfId="52" applyNumberFormat="1" applyFont="1" applyFill="1" applyBorder="1" applyAlignment="1">
      <alignment/>
    </xf>
    <xf numFmtId="188" fontId="12" fillId="0" borderId="0" xfId="52" applyNumberFormat="1" applyFont="1" applyFill="1" applyAlignment="1">
      <alignment horizontal="center"/>
    </xf>
    <xf numFmtId="188" fontId="12" fillId="0" borderId="0" xfId="52" applyNumberFormat="1" applyFont="1" applyFill="1" applyAlignment="1">
      <alignment/>
    </xf>
    <xf numFmtId="198" fontId="12" fillId="0" borderId="0" xfId="52" applyNumberFormat="1" applyFont="1" applyFill="1" applyAlignment="1">
      <alignment/>
    </xf>
    <xf numFmtId="3" fontId="60" fillId="0" borderId="15" xfId="0" applyNumberFormat="1" applyFont="1" applyFill="1" applyBorder="1" applyAlignment="1">
      <alignment horizontal="center" vertical="center"/>
    </xf>
    <xf numFmtId="172" fontId="10" fillId="0" borderId="15" xfId="52" applyNumberFormat="1" applyFont="1" applyFill="1" applyBorder="1" applyAlignment="1">
      <alignment/>
    </xf>
    <xf numFmtId="175" fontId="10" fillId="0" borderId="15" xfId="52" applyNumberFormat="1" applyFont="1" applyFill="1" applyBorder="1" applyAlignment="1">
      <alignment/>
    </xf>
    <xf numFmtId="0" fontId="10" fillId="0" borderId="15" xfId="0" applyFont="1" applyFill="1" applyBorder="1" applyAlignment="1">
      <alignment/>
    </xf>
    <xf numFmtId="1" fontId="10" fillId="0" borderId="15" xfId="0" applyNumberFormat="1" applyFont="1" applyFill="1" applyBorder="1" applyAlignment="1">
      <alignment/>
    </xf>
    <xf numFmtId="164" fontId="10" fillId="0" borderId="15" xfId="52" applyNumberFormat="1" applyFont="1" applyFill="1" applyBorder="1" applyAlignment="1">
      <alignment/>
    </xf>
    <xf numFmtId="2" fontId="10" fillId="0" borderId="15" xfId="0" applyNumberFormat="1" applyFont="1" applyFill="1" applyBorder="1" applyAlignment="1">
      <alignment/>
    </xf>
    <xf numFmtId="181" fontId="10" fillId="0" borderId="15" xfId="0" applyNumberFormat="1" applyFont="1" applyFill="1" applyBorder="1" applyAlignment="1">
      <alignment/>
    </xf>
    <xf numFmtId="1" fontId="10" fillId="0" borderId="15" xfId="52" applyNumberFormat="1" applyFont="1" applyFill="1" applyBorder="1" applyAlignment="1">
      <alignment/>
    </xf>
    <xf numFmtId="175" fontId="10" fillId="0" borderId="15" xfId="0" applyNumberFormat="1" applyFont="1" applyFill="1" applyBorder="1" applyAlignment="1">
      <alignment/>
    </xf>
    <xf numFmtId="43" fontId="60" fillId="0" borderId="15" xfId="52" applyNumberFormat="1" applyFont="1" applyFill="1" applyBorder="1" applyAlignment="1">
      <alignment horizontal="center"/>
    </xf>
    <xf numFmtId="9" fontId="0" fillId="0" borderId="15" xfId="146" applyFont="1" applyFill="1" applyBorder="1" applyAlignment="1">
      <alignment horizontal="center" vertical="center"/>
    </xf>
    <xf numFmtId="185" fontId="0" fillId="0" borderId="15" xfId="146" applyNumberFormat="1" applyFont="1" applyFill="1" applyBorder="1" applyAlignment="1">
      <alignment horizontal="center" vertical="center"/>
    </xf>
    <xf numFmtId="3" fontId="0" fillId="0" borderId="15" xfId="124" applyNumberFormat="1" applyFont="1" applyFill="1" applyBorder="1" applyAlignment="1">
      <alignment horizontal="center" vertical="center"/>
      <protection/>
    </xf>
    <xf numFmtId="172" fontId="0" fillId="0" borderId="15" xfId="54" applyNumberFormat="1" applyFont="1" applyFill="1" applyBorder="1" applyAlignment="1">
      <alignment horizontal="right" vertical="center"/>
    </xf>
    <xf numFmtId="172" fontId="12" fillId="0" borderId="15" xfId="54" applyNumberFormat="1" applyFont="1" applyFill="1" applyBorder="1" applyAlignment="1">
      <alignment horizontal="right" vertical="center"/>
    </xf>
    <xf numFmtId="172" fontId="12" fillId="0" borderId="15" xfId="54" applyNumberFormat="1" applyFont="1" applyFill="1" applyBorder="1" applyAlignment="1">
      <alignment horizontal="center" vertical="center"/>
    </xf>
    <xf numFmtId="175" fontId="12" fillId="0" borderId="15" xfId="54" applyNumberFormat="1" applyFont="1" applyFill="1" applyBorder="1" applyAlignment="1">
      <alignment horizontal="center" vertical="center"/>
    </xf>
    <xf numFmtId="49" fontId="11" fillId="0" borderId="0" xfId="136" applyNumberFormat="1" applyFont="1" applyFill="1" applyBorder="1" applyAlignment="1">
      <alignment wrapText="1"/>
      <protection/>
    </xf>
    <xf numFmtId="0" fontId="12" fillId="0" borderId="0" xfId="136" applyFont="1" applyFill="1" applyBorder="1" applyAlignment="1">
      <alignment horizontal="center" wrapText="1"/>
      <protection/>
    </xf>
    <xf numFmtId="3" fontId="12" fillId="0" borderId="0" xfId="136" applyNumberFormat="1" applyFont="1" applyFill="1" applyBorder="1" applyAlignment="1">
      <alignment horizontal="right" wrapText="1"/>
      <protection/>
    </xf>
    <xf numFmtId="0" fontId="59" fillId="0" borderId="15" xfId="103" applyFont="1" applyFill="1" applyBorder="1" applyAlignment="1" quotePrefix="1">
      <alignment horizontal="center" vertical="center"/>
      <protection/>
    </xf>
    <xf numFmtId="3" fontId="59" fillId="0" borderId="15" xfId="103" applyNumberFormat="1" applyFont="1" applyFill="1" applyBorder="1" applyAlignment="1">
      <alignment vertical="center" wrapText="1"/>
      <protection/>
    </xf>
    <xf numFmtId="0" fontId="12" fillId="0" borderId="0" xfId="136" applyFont="1" applyFill="1" applyBorder="1" applyAlignment="1">
      <alignment horizontal="right" wrapText="1"/>
      <protection/>
    </xf>
    <xf numFmtId="49" fontId="12" fillId="0" borderId="0" xfId="136" applyNumberFormat="1" applyFont="1" applyFill="1" applyBorder="1" applyAlignment="1">
      <alignment wrapText="1"/>
      <protection/>
    </xf>
    <xf numFmtId="0" fontId="54" fillId="0" borderId="15" xfId="103" applyFont="1" applyFill="1" applyBorder="1" applyAlignment="1" quotePrefix="1">
      <alignment horizontal="center" vertical="center"/>
      <protection/>
    </xf>
    <xf numFmtId="3" fontId="54" fillId="0" borderId="15" xfId="103" applyNumberFormat="1" applyFont="1" applyFill="1" applyBorder="1" applyAlignment="1">
      <alignment vertical="center" wrapText="1"/>
      <protection/>
    </xf>
    <xf numFmtId="49" fontId="12" fillId="0" borderId="0" xfId="136" applyNumberFormat="1" applyFont="1" applyFill="1" applyBorder="1" applyAlignment="1" quotePrefix="1">
      <alignment wrapText="1"/>
      <protection/>
    </xf>
    <xf numFmtId="0" fontId="66" fillId="0" borderId="15" xfId="103" applyFont="1" applyFill="1" applyBorder="1" applyAlignment="1">
      <alignment vertical="center" wrapText="1"/>
      <protection/>
    </xf>
    <xf numFmtId="3" fontId="66" fillId="0" borderId="15" xfId="103" applyNumberFormat="1" applyFont="1" applyFill="1" applyBorder="1" applyAlignment="1">
      <alignment vertical="center" wrapText="1"/>
      <protection/>
    </xf>
    <xf numFmtId="49" fontId="11" fillId="0" borderId="0" xfId="136" applyNumberFormat="1" applyFont="1" applyFill="1" applyBorder="1" applyAlignment="1" quotePrefix="1">
      <alignment wrapText="1"/>
      <protection/>
    </xf>
    <xf numFmtId="0" fontId="11" fillId="0" borderId="0" xfId="136" applyFont="1" applyFill="1" applyBorder="1" applyAlignment="1">
      <alignment horizontal="right" vertical="center" wrapText="1"/>
      <protection/>
    </xf>
    <xf numFmtId="3" fontId="11" fillId="0" borderId="0" xfId="136" applyNumberFormat="1" applyFont="1" applyFill="1" applyBorder="1" applyAlignment="1">
      <alignment horizontal="right" wrapText="1"/>
      <protection/>
    </xf>
    <xf numFmtId="3" fontId="12" fillId="0" borderId="0" xfId="103" applyNumberFormat="1" applyFont="1" applyFill="1" applyBorder="1" applyAlignment="1">
      <alignment horizontal="right" wrapText="1"/>
      <protection/>
    </xf>
    <xf numFmtId="49" fontId="11" fillId="0" borderId="0" xfId="136" applyNumberFormat="1" applyFont="1" applyFill="1" applyBorder="1" applyAlignment="1">
      <alignment wrapText="1"/>
      <protection/>
    </xf>
    <xf numFmtId="0" fontId="12" fillId="0" borderId="0" xfId="136" applyFont="1" applyFill="1" applyBorder="1" applyAlignment="1">
      <alignment horizontal="center" wrapText="1"/>
      <protection/>
    </xf>
    <xf numFmtId="3" fontId="12" fillId="0" borderId="0" xfId="136" applyNumberFormat="1" applyFont="1" applyFill="1" applyBorder="1" applyAlignment="1">
      <alignment horizontal="right" wrapText="1"/>
      <protection/>
    </xf>
    <xf numFmtId="175" fontId="85" fillId="0" borderId="15" xfId="0" applyNumberFormat="1" applyFont="1" applyFill="1" applyBorder="1" applyAlignment="1">
      <alignment horizontal="right" vertical="center"/>
    </xf>
    <xf numFmtId="175" fontId="86" fillId="0" borderId="15" xfId="61" applyNumberFormat="1" applyFont="1" applyFill="1" applyBorder="1" applyAlignment="1">
      <alignment horizontal="right" vertical="center"/>
    </xf>
    <xf numFmtId="0" fontId="54" fillId="0" borderId="15" xfId="139" applyFont="1" applyFill="1" applyBorder="1" applyAlignment="1">
      <alignment vertical="center" wrapText="1"/>
      <protection/>
    </xf>
    <xf numFmtId="3" fontId="54" fillId="0" borderId="15" xfId="139" applyNumberFormat="1" applyFont="1" applyFill="1" applyBorder="1" applyAlignment="1">
      <alignment horizontal="right" vertical="center" wrapText="1"/>
      <protection/>
    </xf>
    <xf numFmtId="0" fontId="84" fillId="0" borderId="15" xfId="139" applyFont="1" applyFill="1" applyBorder="1" applyAlignment="1" quotePrefix="1">
      <alignment horizontal="center" vertical="center" wrapText="1"/>
      <protection/>
    </xf>
    <xf numFmtId="0" fontId="66" fillId="0" borderId="15" xfId="139" applyFont="1" applyFill="1" applyBorder="1" applyAlignment="1">
      <alignment horizontal="center" vertical="center" wrapText="1"/>
      <protection/>
    </xf>
    <xf numFmtId="0" fontId="66" fillId="0" borderId="15" xfId="139" applyFont="1" applyFill="1" applyBorder="1" applyAlignment="1">
      <alignment vertical="center" wrapText="1"/>
      <protection/>
    </xf>
    <xf numFmtId="3" fontId="66" fillId="0" borderId="15" xfId="139" applyNumberFormat="1" applyFont="1" applyFill="1" applyBorder="1" applyAlignment="1">
      <alignment horizontal="right" vertical="center" wrapText="1"/>
      <protection/>
    </xf>
    <xf numFmtId="0" fontId="54" fillId="0" borderId="15" xfId="139" applyFont="1" applyFill="1" applyBorder="1" applyAlignment="1">
      <alignment horizontal="center" vertical="center" wrapText="1"/>
      <protection/>
    </xf>
    <xf numFmtId="0" fontId="59" fillId="0" borderId="15" xfId="139" applyFont="1" applyFill="1" applyBorder="1" applyAlignment="1">
      <alignment horizontal="left" vertical="center" wrapText="1"/>
      <protection/>
    </xf>
    <xf numFmtId="3" fontId="59" fillId="0" borderId="15" xfId="139" applyNumberFormat="1" applyFont="1" applyFill="1" applyBorder="1" applyAlignment="1">
      <alignment horizontal="right" vertical="center" wrapText="1"/>
      <protection/>
    </xf>
    <xf numFmtId="0" fontId="59" fillId="0" borderId="15" xfId="139" applyFont="1" applyFill="1" applyBorder="1" applyAlignment="1">
      <alignment horizontal="center" vertical="center" wrapText="1"/>
      <protection/>
    </xf>
    <xf numFmtId="0" fontId="59" fillId="0" borderId="15" xfId="139" applyFont="1" applyFill="1" applyBorder="1" applyAlignment="1">
      <alignment vertical="center" wrapText="1"/>
      <protection/>
    </xf>
    <xf numFmtId="3" fontId="59" fillId="0" borderId="15" xfId="139" applyNumberFormat="1" applyFont="1" applyFill="1" applyBorder="1" applyAlignment="1">
      <alignment vertical="center" wrapText="1"/>
      <protection/>
    </xf>
    <xf numFmtId="0" fontId="84" fillId="0" borderId="15" xfId="139" applyFont="1" applyFill="1" applyBorder="1" applyAlignment="1">
      <alignment horizontal="center" vertical="center" wrapText="1"/>
      <protection/>
    </xf>
    <xf numFmtId="3" fontId="54" fillId="0" borderId="15" xfId="139" applyNumberFormat="1" applyFont="1" applyFill="1" applyBorder="1" applyAlignment="1">
      <alignment vertical="center" wrapText="1"/>
      <protection/>
    </xf>
    <xf numFmtId="0" fontId="54" fillId="0" borderId="15" xfId="103" applyFont="1" applyFill="1" applyBorder="1">
      <alignment/>
      <protection/>
    </xf>
    <xf numFmtId="0" fontId="59" fillId="0" borderId="15" xfId="103" applyFont="1" applyFill="1" applyBorder="1" applyAlignment="1">
      <alignment horizontal="left" vertical="center"/>
      <protection/>
    </xf>
    <xf numFmtId="0" fontId="59" fillId="0" borderId="15" xfId="123" applyFont="1" applyFill="1" applyBorder="1" applyAlignment="1">
      <alignment horizontal="right" vertical="center" wrapText="1"/>
      <protection/>
    </xf>
    <xf numFmtId="0" fontId="59" fillId="0" borderId="15" xfId="103" applyFont="1" applyFill="1" applyBorder="1" applyAlignment="1">
      <alignment horizontal="left" vertical="center" wrapText="1"/>
      <protection/>
    </xf>
    <xf numFmtId="169" fontId="67" fillId="0" borderId="15" xfId="103" applyNumberFormat="1" applyFont="1" applyFill="1" applyBorder="1" applyAlignment="1">
      <alignment horizontal="right" vertical="center"/>
      <protection/>
    </xf>
    <xf numFmtId="3" fontId="54" fillId="0" borderId="0" xfId="103" applyNumberFormat="1" applyFont="1" applyFill="1">
      <alignment/>
      <protection/>
    </xf>
    <xf numFmtId="0" fontId="78" fillId="0" borderId="15" xfId="103" applyFont="1" applyFill="1" applyBorder="1" applyAlignment="1">
      <alignment horizontal="center" vertical="center" wrapText="1"/>
      <protection/>
    </xf>
    <xf numFmtId="3" fontId="11" fillId="0" borderId="0" xfId="103" applyNumberFormat="1" applyFont="1" applyFill="1" applyAlignment="1">
      <alignment vertical="center"/>
      <protection/>
    </xf>
    <xf numFmtId="0" fontId="11" fillId="0" borderId="15" xfId="138" applyFont="1" applyFill="1" applyBorder="1" applyAlignment="1">
      <alignment horizontal="left" vertical="center" wrapText="1"/>
      <protection/>
    </xf>
    <xf numFmtId="49" fontId="12" fillId="0" borderId="15" xfId="103" applyNumberFormat="1" applyFont="1" applyFill="1" applyBorder="1" applyAlignment="1">
      <alignment horizontal="right" vertical="center"/>
      <protection/>
    </xf>
    <xf numFmtId="3" fontId="60" fillId="0" borderId="15" xfId="114" applyNumberFormat="1" applyFont="1" applyFill="1" applyBorder="1" applyAlignment="1">
      <alignment horizontal="right" vertical="center"/>
      <protection/>
    </xf>
    <xf numFmtId="0" fontId="64" fillId="0" borderId="15" xfId="103" applyFont="1" applyFill="1" applyBorder="1" applyAlignment="1">
      <alignment vertical="center"/>
      <protection/>
    </xf>
    <xf numFmtId="0" fontId="60" fillId="0" borderId="15" xfId="103" applyFont="1" applyFill="1" applyBorder="1" applyAlignment="1">
      <alignment vertical="center"/>
      <protection/>
    </xf>
    <xf numFmtId="3" fontId="64" fillId="0" borderId="15" xfId="103" applyNumberFormat="1" applyFont="1" applyFill="1" applyBorder="1" applyAlignment="1">
      <alignment vertical="center"/>
      <protection/>
    </xf>
    <xf numFmtId="2" fontId="60" fillId="0" borderId="15" xfId="103" applyNumberFormat="1" applyFont="1" applyFill="1" applyBorder="1" applyAlignment="1">
      <alignment vertical="center"/>
      <protection/>
    </xf>
    <xf numFmtId="3" fontId="64" fillId="0" borderId="15" xfId="114" applyNumberFormat="1" applyFont="1" applyFill="1" applyBorder="1" applyAlignment="1">
      <alignment horizontal="right" vertical="center"/>
      <protection/>
    </xf>
    <xf numFmtId="2" fontId="11" fillId="0" borderId="15" xfId="103" applyNumberFormat="1" applyFont="1" applyFill="1" applyBorder="1" applyAlignment="1">
      <alignment vertical="center"/>
      <protection/>
    </xf>
    <xf numFmtId="37" fontId="11" fillId="0" borderId="0" xfId="114" applyNumberFormat="1" applyFont="1" applyFill="1" applyBorder="1" applyAlignment="1">
      <alignment horizontal="right" vertical="center"/>
      <protection/>
    </xf>
    <xf numFmtId="2" fontId="64" fillId="0" borderId="15" xfId="114" applyNumberFormat="1" applyFont="1" applyFill="1" applyBorder="1" applyAlignment="1">
      <alignment horizontal="right" vertical="center"/>
      <protection/>
    </xf>
    <xf numFmtId="3" fontId="12" fillId="0" borderId="0" xfId="114" applyNumberFormat="1" applyFont="1" applyFill="1" applyBorder="1" applyAlignment="1">
      <alignment horizontal="right" vertical="center"/>
      <protection/>
    </xf>
    <xf numFmtId="4" fontId="58" fillId="0" borderId="15" xfId="103" applyNumberFormat="1" applyFont="1" applyFill="1" applyBorder="1" applyAlignment="1">
      <alignment horizontal="center" vertical="center"/>
      <protection/>
    </xf>
    <xf numFmtId="4" fontId="65" fillId="0" borderId="15" xfId="114" applyNumberFormat="1" applyFont="1" applyFill="1" applyBorder="1" applyAlignment="1">
      <alignment horizontal="right" vertical="center"/>
      <protection/>
    </xf>
    <xf numFmtId="2" fontId="77" fillId="0" borderId="15" xfId="114" applyNumberFormat="1" applyFont="1" applyFill="1" applyBorder="1" applyAlignment="1">
      <alignment horizontal="right" vertical="center"/>
      <protection/>
    </xf>
    <xf numFmtId="3" fontId="58" fillId="0" borderId="0" xfId="103" applyNumberFormat="1" applyFont="1" applyFill="1" applyAlignment="1">
      <alignment vertical="center"/>
      <protection/>
    </xf>
    <xf numFmtId="3" fontId="58" fillId="0" borderId="0" xfId="114" applyNumberFormat="1" applyFont="1" applyFill="1" applyBorder="1" applyAlignment="1">
      <alignment horizontal="right" vertical="center"/>
      <protection/>
    </xf>
    <xf numFmtId="4" fontId="11" fillId="0" borderId="15" xfId="103" applyNumberFormat="1" applyFont="1" applyFill="1" applyBorder="1" applyAlignment="1">
      <alignment horizontal="center" vertical="center"/>
      <protection/>
    </xf>
    <xf numFmtId="4" fontId="64" fillId="0" borderId="15" xfId="114" applyNumberFormat="1" applyFont="1" applyFill="1" applyBorder="1" applyAlignment="1">
      <alignment horizontal="right" vertical="center"/>
      <protection/>
    </xf>
    <xf numFmtId="197" fontId="64" fillId="0" borderId="15" xfId="114" applyNumberFormat="1" applyFont="1" applyFill="1" applyBorder="1" applyAlignment="1">
      <alignment horizontal="right" vertical="center"/>
      <protection/>
    </xf>
    <xf numFmtId="3" fontId="11" fillId="0" borderId="0" xfId="114" applyNumberFormat="1" applyFont="1" applyFill="1" applyBorder="1" applyAlignment="1">
      <alignment horizontal="right" vertical="center"/>
      <protection/>
    </xf>
    <xf numFmtId="0" fontId="58" fillId="0" borderId="0" xfId="103" applyFont="1" applyFill="1">
      <alignment/>
      <protection/>
    </xf>
    <xf numFmtId="3" fontId="65" fillId="0" borderId="15" xfId="114" applyNumberFormat="1" applyFont="1" applyFill="1" applyBorder="1" applyAlignment="1">
      <alignment horizontal="right" vertical="center"/>
      <protection/>
    </xf>
    <xf numFmtId="2" fontId="65" fillId="0" borderId="15" xfId="114" applyNumberFormat="1" applyFont="1" applyFill="1" applyBorder="1" applyAlignment="1">
      <alignment horizontal="right" vertical="center"/>
      <protection/>
    </xf>
    <xf numFmtId="169" fontId="65" fillId="0" borderId="15" xfId="114" applyNumberFormat="1" applyFont="1" applyFill="1" applyBorder="1" applyAlignment="1">
      <alignment horizontal="right" vertical="center"/>
      <protection/>
    </xf>
    <xf numFmtId="2" fontId="65" fillId="0" borderId="15" xfId="138" applyNumberFormat="1" applyFont="1" applyFill="1" applyBorder="1" applyAlignment="1">
      <alignment horizontal="right" vertical="center" wrapText="1"/>
      <protection/>
    </xf>
    <xf numFmtId="2" fontId="65" fillId="0" borderId="15" xfId="103" applyNumberFormat="1" applyFont="1" applyFill="1" applyBorder="1" applyAlignment="1">
      <alignment horizontal="right" vertical="center"/>
      <protection/>
    </xf>
    <xf numFmtId="2" fontId="58" fillId="0" borderId="0" xfId="103" applyNumberFormat="1" applyFont="1" applyFill="1">
      <alignment/>
      <protection/>
    </xf>
    <xf numFmtId="183" fontId="58" fillId="0" borderId="0" xfId="103" applyNumberFormat="1" applyFont="1" applyFill="1">
      <alignment/>
      <protection/>
    </xf>
    <xf numFmtId="183" fontId="58" fillId="0" borderId="0" xfId="103" applyNumberFormat="1" applyFont="1" applyFill="1" applyAlignment="1">
      <alignment vertical="center"/>
      <protection/>
    </xf>
    <xf numFmtId="4" fontId="65" fillId="0" borderId="15" xfId="103" applyNumberFormat="1" applyFont="1" applyFill="1" applyBorder="1" applyAlignment="1">
      <alignment horizontal="right" vertical="center"/>
      <protection/>
    </xf>
    <xf numFmtId="3" fontId="65" fillId="0" borderId="15" xfId="103" applyNumberFormat="1" applyFont="1" applyFill="1" applyBorder="1" applyAlignment="1">
      <alignment horizontal="right" vertical="center"/>
      <protection/>
    </xf>
    <xf numFmtId="4" fontId="60" fillId="0" borderId="15" xfId="103" applyNumberFormat="1" applyFont="1" applyFill="1" applyBorder="1" applyAlignment="1">
      <alignment horizontal="right" vertical="center"/>
      <protection/>
    </xf>
    <xf numFmtId="3" fontId="154" fillId="0" borderId="15" xfId="124" applyNumberFormat="1" applyFont="1" applyFill="1" applyBorder="1" applyAlignment="1">
      <alignment horizontal="right" vertical="center"/>
      <protection/>
    </xf>
    <xf numFmtId="4" fontId="154" fillId="0" borderId="15" xfId="124" applyNumberFormat="1" applyFont="1" applyFill="1" applyBorder="1" applyAlignment="1">
      <alignment horizontal="center" vertical="center"/>
      <protection/>
    </xf>
    <xf numFmtId="4" fontId="155" fillId="0" borderId="15" xfId="124" applyNumberFormat="1" applyFont="1" applyFill="1" applyBorder="1" applyAlignment="1">
      <alignment horizontal="right" vertical="center"/>
      <protection/>
    </xf>
    <xf numFmtId="182" fontId="155" fillId="0" borderId="15" xfId="69" applyNumberFormat="1" applyFont="1" applyFill="1" applyBorder="1" applyAlignment="1">
      <alignment horizontal="right" vertical="center"/>
    </xf>
    <xf numFmtId="4" fontId="155" fillId="0" borderId="15" xfId="0" applyNumberFormat="1" applyFont="1" applyFill="1" applyBorder="1" applyAlignment="1">
      <alignment horizontal="right" vertical="center"/>
    </xf>
    <xf numFmtId="182" fontId="155" fillId="0" borderId="15" xfId="124" applyNumberFormat="1" applyFont="1" applyFill="1" applyBorder="1" applyAlignment="1">
      <alignment horizontal="right" vertical="center"/>
      <protection/>
    </xf>
    <xf numFmtId="4" fontId="155" fillId="0" borderId="15" xfId="124" applyNumberFormat="1" applyFont="1" applyFill="1" applyBorder="1" applyAlignment="1">
      <alignment horizontal="center" vertical="center"/>
      <protection/>
    </xf>
    <xf numFmtId="188" fontId="156" fillId="0" borderId="15" xfId="52" applyNumberFormat="1" applyFont="1" applyFill="1" applyBorder="1" applyAlignment="1">
      <alignment vertical="center"/>
    </xf>
    <xf numFmtId="188" fontId="156" fillId="0" borderId="15" xfId="52" applyNumberFormat="1" applyFont="1" applyFill="1" applyBorder="1" applyAlignment="1">
      <alignment horizontal="center" vertical="center"/>
    </xf>
    <xf numFmtId="169" fontId="157" fillId="0" borderId="13" xfId="103" applyNumberFormat="1" applyFont="1" applyFill="1" applyBorder="1" applyAlignment="1" applyProtection="1">
      <alignment vertical="center" wrapText="1"/>
      <protection/>
    </xf>
    <xf numFmtId="175" fontId="147" fillId="0" borderId="15" xfId="103" applyNumberFormat="1" applyFont="1" applyFill="1" applyBorder="1" applyAlignment="1">
      <alignment vertical="center"/>
      <protection/>
    </xf>
    <xf numFmtId="4" fontId="158" fillId="34" borderId="15" xfId="124" applyNumberFormat="1" applyFont="1" applyFill="1" applyBorder="1" applyAlignment="1">
      <alignment horizontal="right" vertical="center"/>
      <protection/>
    </xf>
    <xf numFmtId="182" fontId="158" fillId="34" borderId="15" xfId="124" applyNumberFormat="1" applyFont="1" applyFill="1" applyBorder="1" applyAlignment="1">
      <alignment horizontal="right" vertical="center"/>
      <protection/>
    </xf>
    <xf numFmtId="188" fontId="12" fillId="35" borderId="0" xfId="52" applyNumberFormat="1" applyFont="1" applyFill="1" applyAlignment="1">
      <alignment vertical="center"/>
    </xf>
    <xf numFmtId="49" fontId="159" fillId="0" borderId="15" xfId="52" applyNumberFormat="1" applyFont="1" applyFill="1" applyBorder="1" applyAlignment="1">
      <alignment horizontal="center" vertical="center"/>
    </xf>
    <xf numFmtId="188" fontId="159" fillId="0" borderId="15" xfId="52" applyNumberFormat="1" applyFont="1" applyFill="1" applyBorder="1" applyAlignment="1">
      <alignment vertical="center"/>
    </xf>
    <xf numFmtId="188" fontId="160" fillId="0" borderId="15" xfId="52" applyNumberFormat="1" applyFont="1" applyFill="1" applyBorder="1" applyAlignment="1">
      <alignment vertical="center"/>
    </xf>
    <xf numFmtId="43" fontId="161" fillId="0" borderId="15" xfId="52" applyNumberFormat="1" applyFont="1" applyFill="1" applyBorder="1" applyAlignment="1">
      <alignment horizontal="center" vertical="center"/>
    </xf>
    <xf numFmtId="184" fontId="161" fillId="0" borderId="15" xfId="52" applyNumberFormat="1" applyFont="1" applyFill="1" applyBorder="1" applyAlignment="1">
      <alignment vertical="center"/>
    </xf>
    <xf numFmtId="198" fontId="161" fillId="0" borderId="15" xfId="52" applyNumberFormat="1" applyFont="1" applyFill="1" applyBorder="1" applyAlignment="1">
      <alignment vertical="center"/>
    </xf>
    <xf numFmtId="188" fontId="145" fillId="0" borderId="0" xfId="52" applyNumberFormat="1" applyFont="1" applyFill="1" applyAlignment="1">
      <alignment vertical="center"/>
    </xf>
    <xf numFmtId="188" fontId="159" fillId="0" borderId="0" xfId="52" applyNumberFormat="1" applyFont="1" applyFill="1" applyAlignment="1">
      <alignment vertical="center"/>
    </xf>
    <xf numFmtId="49" fontId="162" fillId="0" borderId="15" xfId="52" applyNumberFormat="1" applyFont="1" applyFill="1" applyBorder="1" applyAlignment="1">
      <alignment horizontal="center" vertical="center"/>
    </xf>
    <xf numFmtId="188" fontId="162" fillId="0" borderId="15" xfId="52" applyNumberFormat="1" applyFont="1" applyFill="1" applyBorder="1" applyAlignment="1">
      <alignment vertical="center"/>
    </xf>
    <xf numFmtId="188" fontId="163" fillId="0" borderId="15" xfId="52" applyNumberFormat="1" applyFont="1" applyFill="1" applyBorder="1" applyAlignment="1">
      <alignment vertical="center"/>
    </xf>
    <xf numFmtId="188" fontId="164" fillId="0" borderId="15" xfId="52" applyNumberFormat="1" applyFont="1" applyFill="1" applyBorder="1" applyAlignment="1">
      <alignment vertical="center"/>
    </xf>
    <xf numFmtId="188" fontId="162" fillId="0" borderId="0" xfId="52" applyNumberFormat="1" applyFont="1" applyFill="1" applyAlignment="1">
      <alignment vertical="center"/>
    </xf>
    <xf numFmtId="49" fontId="145" fillId="0" borderId="15" xfId="52" applyNumberFormat="1" applyFont="1" applyFill="1" applyBorder="1" applyAlignment="1">
      <alignment horizontal="center" vertical="center"/>
    </xf>
    <xf numFmtId="188" fontId="145" fillId="0" borderId="15" xfId="52" applyNumberFormat="1" applyFont="1" applyFill="1" applyBorder="1" applyAlignment="1">
      <alignment vertical="center"/>
    </xf>
    <xf numFmtId="188" fontId="165" fillId="0" borderId="15" xfId="52" applyNumberFormat="1" applyFont="1" applyFill="1" applyBorder="1" applyAlignment="1">
      <alignment vertical="center"/>
    </xf>
    <xf numFmtId="43" fontId="165" fillId="0" borderId="15" xfId="52" applyNumberFormat="1" applyFont="1" applyFill="1" applyBorder="1" applyAlignment="1">
      <alignment horizontal="center" vertical="center"/>
    </xf>
    <xf numFmtId="188" fontId="161" fillId="0" borderId="15" xfId="52" applyNumberFormat="1" applyFont="1" applyFill="1" applyBorder="1" applyAlignment="1">
      <alignment vertical="center"/>
    </xf>
    <xf numFmtId="43" fontId="161" fillId="0" borderId="15" xfId="52" applyNumberFormat="1" applyFont="1" applyFill="1" applyBorder="1" applyAlignment="1">
      <alignment vertical="center"/>
    </xf>
    <xf numFmtId="4" fontId="166" fillId="0" borderId="15" xfId="52" applyNumberFormat="1" applyFont="1" applyFill="1" applyBorder="1" applyAlignment="1">
      <alignment horizontal="right" vertical="center" wrapText="1"/>
    </xf>
    <xf numFmtId="182" fontId="167" fillId="0" borderId="15" xfId="52" applyNumberFormat="1" applyFont="1" applyFill="1" applyBorder="1" applyAlignment="1">
      <alignment horizontal="right" vertical="center" wrapText="1"/>
    </xf>
    <xf numFmtId="4" fontId="167" fillId="0" borderId="15" xfId="52" applyNumberFormat="1" applyFont="1" applyFill="1" applyBorder="1" applyAlignment="1">
      <alignment horizontal="right" vertical="center" wrapText="1"/>
    </xf>
    <xf numFmtId="188" fontId="168" fillId="0" borderId="15" xfId="52" applyNumberFormat="1" applyFont="1" applyFill="1" applyBorder="1" applyAlignment="1">
      <alignment vertical="center"/>
    </xf>
    <xf numFmtId="0" fontId="3" fillId="0" borderId="0" xfId="0" applyFont="1" applyFill="1" applyAlignment="1">
      <alignment horizontal="center" vertical="center" wrapText="1"/>
    </xf>
    <xf numFmtId="0" fontId="18" fillId="0" borderId="0" xfId="0" applyFont="1" applyFill="1" applyAlignment="1">
      <alignment horizontal="center" vertical="center"/>
    </xf>
    <xf numFmtId="0" fontId="5" fillId="0" borderId="15" xfId="0" applyFont="1" applyFill="1" applyBorder="1" applyAlignment="1">
      <alignment horizontal="center" vertical="center" wrapText="1"/>
    </xf>
    <xf numFmtId="0" fontId="5" fillId="0" borderId="33"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30" xfId="0" applyFont="1" applyFill="1" applyBorder="1" applyAlignment="1">
      <alignment horizontal="center" vertical="center" wrapText="1"/>
    </xf>
    <xf numFmtId="0" fontId="63" fillId="0" borderId="0" xfId="0" applyFont="1" applyFill="1" applyAlignment="1">
      <alignment horizontal="center" vertical="center"/>
    </xf>
    <xf numFmtId="0" fontId="3" fillId="0" borderId="0" xfId="124" applyFont="1" applyFill="1" applyAlignment="1">
      <alignment horizontal="center" vertical="center"/>
      <protection/>
    </xf>
    <xf numFmtId="0" fontId="63" fillId="0" borderId="0" xfId="124" applyFont="1" applyFill="1" applyAlignment="1">
      <alignment horizontal="center" vertical="center"/>
      <protection/>
    </xf>
    <xf numFmtId="0" fontId="0" fillId="0" borderId="15" xfId="124" applyFont="1" applyFill="1" applyBorder="1" applyAlignment="1">
      <alignment horizontal="center" vertical="center" wrapText="1"/>
      <protection/>
    </xf>
    <xf numFmtId="0" fontId="0" fillId="0" borderId="33" xfId="124" applyFont="1" applyFill="1" applyBorder="1" applyAlignment="1">
      <alignment horizontal="center" vertical="center" wrapText="1"/>
      <protection/>
    </xf>
    <xf numFmtId="0" fontId="0" fillId="0" borderId="5" xfId="124" applyFont="1" applyFill="1" applyBorder="1" applyAlignment="1">
      <alignment horizontal="center" vertical="center" wrapText="1"/>
      <protection/>
    </xf>
    <xf numFmtId="0" fontId="0" fillId="0" borderId="30" xfId="124" applyFont="1" applyFill="1" applyBorder="1" applyAlignment="1">
      <alignment horizontal="center" vertical="center" wrapText="1"/>
      <protection/>
    </xf>
    <xf numFmtId="0" fontId="11" fillId="0" borderId="34" xfId="0" applyFont="1" applyFill="1" applyBorder="1" applyAlignment="1">
      <alignment horizontal="center" vertical="center"/>
    </xf>
    <xf numFmtId="0" fontId="11" fillId="0" borderId="0" xfId="0" applyFont="1" applyFill="1" applyAlignment="1">
      <alignment horizontal="center" vertical="center" wrapText="1"/>
    </xf>
    <xf numFmtId="188" fontId="12" fillId="0" borderId="0" xfId="52" applyNumberFormat="1" applyFont="1" applyFill="1" applyBorder="1" applyAlignment="1">
      <alignment horizontal="left" vertical="center" wrapText="1"/>
    </xf>
    <xf numFmtId="0" fontId="2" fillId="0" borderId="0" xfId="0" applyFont="1" applyFill="1" applyAlignment="1">
      <alignment horizontal="center" wrapText="1"/>
    </xf>
    <xf numFmtId="0" fontId="66" fillId="0" borderId="0" xfId="0" applyFont="1" applyFill="1" applyAlignment="1">
      <alignment horizontal="center" wrapText="1"/>
    </xf>
    <xf numFmtId="49" fontId="11" fillId="0" borderId="15" xfId="0" applyNumberFormat="1" applyFont="1" applyFill="1" applyBorder="1" applyAlignment="1">
      <alignment horizontal="center" vertical="center"/>
    </xf>
    <xf numFmtId="0" fontId="11" fillId="0" borderId="15" xfId="0" applyFont="1" applyFill="1" applyBorder="1" applyAlignment="1">
      <alignment horizontal="center" vertical="center"/>
    </xf>
    <xf numFmtId="0" fontId="11" fillId="0" borderId="15" xfId="0" applyFont="1" applyFill="1" applyBorder="1" applyAlignment="1">
      <alignment horizontal="center" vertical="center" wrapText="1"/>
    </xf>
    <xf numFmtId="0" fontId="11" fillId="0" borderId="33" xfId="0" applyFont="1" applyFill="1" applyBorder="1" applyAlignment="1">
      <alignment horizontal="center" vertical="center"/>
    </xf>
    <xf numFmtId="0" fontId="11" fillId="0" borderId="5" xfId="0" applyFont="1" applyFill="1" applyBorder="1" applyAlignment="1">
      <alignment horizontal="center" vertical="center"/>
    </xf>
    <xf numFmtId="0" fontId="11" fillId="0" borderId="30" xfId="0" applyFont="1" applyFill="1" applyBorder="1" applyAlignment="1">
      <alignment horizontal="center" vertical="center"/>
    </xf>
    <xf numFmtId="178" fontId="60" fillId="0" borderId="0" xfId="123" applyNumberFormat="1" applyFont="1" applyFill="1" applyBorder="1" applyAlignment="1">
      <alignment horizontal="center" vertical="center" wrapText="1"/>
      <protection/>
    </xf>
    <xf numFmtId="175" fontId="5" fillId="0" borderId="0" xfId="53" applyNumberFormat="1" applyFont="1" applyFill="1" applyAlignment="1">
      <alignment horizontal="left" vertical="center" wrapText="1"/>
    </xf>
    <xf numFmtId="0" fontId="2" fillId="0" borderId="0" xfId="123" applyFont="1" applyFill="1" applyAlignment="1">
      <alignment horizontal="center" vertical="top" wrapText="1"/>
      <protection/>
    </xf>
    <xf numFmtId="175" fontId="63" fillId="0" borderId="1" xfId="53" applyNumberFormat="1" applyFont="1" applyFill="1" applyBorder="1" applyAlignment="1">
      <alignment horizontal="center" vertical="top" wrapText="1"/>
    </xf>
    <xf numFmtId="175" fontId="11" fillId="0" borderId="15" xfId="53" applyNumberFormat="1" applyFont="1" applyFill="1" applyBorder="1" applyAlignment="1">
      <alignment vertical="center" wrapText="1"/>
    </xf>
    <xf numFmtId="172" fontId="11" fillId="0" borderId="15" xfId="53" applyNumberFormat="1" applyFont="1" applyFill="1" applyBorder="1" applyAlignment="1">
      <alignment horizontal="center" vertical="center" wrapText="1"/>
    </xf>
    <xf numFmtId="0" fontId="11" fillId="0" borderId="15" xfId="15" applyFont="1" applyFill="1" applyBorder="1" applyAlignment="1">
      <alignment horizontal="center" vertical="center" wrapText="1"/>
      <protection/>
    </xf>
    <xf numFmtId="172" fontId="11" fillId="0" borderId="15" xfId="53" applyNumberFormat="1" applyFont="1" applyFill="1" applyBorder="1" applyAlignment="1">
      <alignment horizontal="center" vertical="center"/>
    </xf>
    <xf numFmtId="0" fontId="5" fillId="0" borderId="20" xfId="114" applyFont="1" applyFill="1" applyBorder="1" applyAlignment="1">
      <alignment horizontal="center" vertical="center" wrapText="1"/>
      <protection/>
    </xf>
    <xf numFmtId="0" fontId="5" fillId="0" borderId="21" xfId="114" applyFont="1" applyFill="1" applyBorder="1" applyAlignment="1">
      <alignment horizontal="center" vertical="center" wrapText="1"/>
      <protection/>
    </xf>
    <xf numFmtId="0" fontId="5" fillId="0" borderId="35" xfId="114" applyFont="1" applyFill="1" applyBorder="1" applyAlignment="1">
      <alignment horizontal="center" vertical="center" wrapText="1"/>
      <protection/>
    </xf>
    <xf numFmtId="0" fontId="5" fillId="0" borderId="36" xfId="114" applyFont="1" applyFill="1" applyBorder="1" applyAlignment="1">
      <alignment horizontal="center" vertical="center" wrapText="1"/>
      <protection/>
    </xf>
    <xf numFmtId="0" fontId="5" fillId="0" borderId="32" xfId="114" applyFont="1" applyFill="1" applyBorder="1" applyAlignment="1">
      <alignment horizontal="center" vertical="center" wrapText="1"/>
      <protection/>
    </xf>
    <xf numFmtId="0" fontId="59" fillId="0" borderId="20" xfId="114" applyFont="1" applyFill="1" applyBorder="1" applyAlignment="1">
      <alignment horizontal="center" vertical="center" wrapText="1"/>
      <protection/>
    </xf>
    <xf numFmtId="0" fontId="59" fillId="0" borderId="21" xfId="114" applyFont="1" applyFill="1" applyBorder="1" applyAlignment="1">
      <alignment horizontal="center" vertical="center" wrapText="1"/>
      <protection/>
    </xf>
    <xf numFmtId="0" fontId="59" fillId="0" borderId="0" xfId="114" applyFont="1" applyFill="1" applyAlignment="1">
      <alignment horizontal="left" vertical="center"/>
      <protection/>
    </xf>
    <xf numFmtId="0" fontId="2" fillId="0" borderId="0" xfId="114" applyFont="1" applyFill="1" applyAlignment="1">
      <alignment horizontal="center" vertical="center"/>
      <protection/>
    </xf>
    <xf numFmtId="0" fontId="63" fillId="0" borderId="0" xfId="114" applyFont="1" applyFill="1" applyAlignment="1">
      <alignment horizontal="center" vertical="center"/>
      <protection/>
    </xf>
    <xf numFmtId="0" fontId="3" fillId="0" borderId="0" xfId="103" applyFont="1" applyFill="1" applyBorder="1" applyAlignment="1">
      <alignment horizontal="center" vertical="center"/>
      <protection/>
    </xf>
    <xf numFmtId="0" fontId="4" fillId="0" borderId="0" xfId="103" applyFont="1" applyFill="1" applyAlignment="1">
      <alignment horizontal="center" vertical="center"/>
      <protection/>
    </xf>
    <xf numFmtId="0" fontId="63" fillId="0" borderId="0" xfId="103" applyFont="1" applyFill="1" applyAlignment="1">
      <alignment horizontal="center" vertical="center"/>
      <protection/>
    </xf>
    <xf numFmtId="0" fontId="11" fillId="0" borderId="15" xfId="103" applyFont="1" applyFill="1" applyBorder="1" applyAlignment="1">
      <alignment horizontal="center" vertical="center"/>
      <protection/>
    </xf>
    <xf numFmtId="0" fontId="11" fillId="0" borderId="15" xfId="138" applyFont="1" applyFill="1" applyBorder="1" applyAlignment="1">
      <alignment horizontal="center" vertical="center" wrapText="1"/>
      <protection/>
    </xf>
    <xf numFmtId="0" fontId="11" fillId="0" borderId="15" xfId="136" applyFont="1" applyFill="1" applyBorder="1" applyAlignment="1">
      <alignment horizontal="center" vertical="center" wrapText="1"/>
      <protection/>
    </xf>
    <xf numFmtId="0" fontId="7" fillId="0" borderId="1" xfId="103" applyFont="1" applyFill="1" applyBorder="1" applyAlignment="1">
      <alignment horizontal="center"/>
      <protection/>
    </xf>
    <xf numFmtId="0" fontId="11" fillId="0" borderId="15" xfId="103" applyFont="1" applyFill="1" applyBorder="1" applyAlignment="1">
      <alignment horizontal="center" vertical="center" wrapText="1"/>
      <protection/>
    </xf>
    <xf numFmtId="0" fontId="11" fillId="0" borderId="20" xfId="103" applyFont="1" applyFill="1" applyBorder="1" applyAlignment="1">
      <alignment horizontal="center" vertical="center"/>
      <protection/>
    </xf>
    <xf numFmtId="0" fontId="11" fillId="0" borderId="10" xfId="103" applyFont="1" applyFill="1" applyBorder="1" applyAlignment="1">
      <alignment horizontal="center" vertical="center"/>
      <protection/>
    </xf>
    <xf numFmtId="0" fontId="11" fillId="0" borderId="21" xfId="103" applyFont="1" applyFill="1" applyBorder="1" applyAlignment="1">
      <alignment horizontal="center" vertical="center"/>
      <protection/>
    </xf>
    <xf numFmtId="0" fontId="3" fillId="0" borderId="0" xfId="103" applyFont="1" applyFill="1" applyAlignment="1">
      <alignment horizontal="center" vertical="center"/>
      <protection/>
    </xf>
    <xf numFmtId="0" fontId="66" fillId="0" borderId="1" xfId="103" applyFont="1" applyFill="1" applyBorder="1" applyAlignment="1">
      <alignment horizontal="center" vertical="center"/>
      <protection/>
    </xf>
    <xf numFmtId="0" fontId="59" fillId="0" borderId="15" xfId="103" applyFont="1" applyFill="1" applyBorder="1" applyAlignment="1">
      <alignment horizontal="center" vertical="center" wrapText="1"/>
      <protection/>
    </xf>
    <xf numFmtId="0" fontId="59" fillId="0" borderId="15" xfId="103" applyFont="1" applyFill="1" applyBorder="1" applyAlignment="1">
      <alignment horizontal="center" vertical="center"/>
      <protection/>
    </xf>
    <xf numFmtId="0" fontId="59" fillId="0" borderId="30" xfId="136" applyFont="1" applyFill="1" applyBorder="1" applyAlignment="1">
      <alignment horizontal="center" vertical="center"/>
      <protection/>
    </xf>
    <xf numFmtId="0" fontId="59" fillId="0" borderId="15" xfId="136" applyFont="1" applyFill="1" applyBorder="1" applyAlignment="1">
      <alignment horizontal="center" vertical="center"/>
      <protection/>
    </xf>
    <xf numFmtId="0" fontId="3" fillId="0" borderId="0" xfId="103" applyFont="1" applyFill="1" applyAlignment="1">
      <alignment horizontal="center" vertical="center" wrapText="1"/>
      <protection/>
    </xf>
    <xf numFmtId="0" fontId="4" fillId="0" borderId="0" xfId="103" applyFont="1" applyFill="1" applyBorder="1" applyAlignment="1">
      <alignment horizontal="center" vertical="center" wrapText="1"/>
      <protection/>
    </xf>
    <xf numFmtId="0" fontId="59" fillId="0" borderId="15" xfId="136" applyFont="1" applyFill="1" applyBorder="1" applyAlignment="1">
      <alignment horizontal="center" vertical="center" wrapText="1"/>
      <protection/>
    </xf>
    <xf numFmtId="49" fontId="59" fillId="0" borderId="15" xfId="136" applyNumberFormat="1" applyFont="1" applyFill="1" applyBorder="1" applyAlignment="1">
      <alignment horizontal="center" vertical="center" wrapText="1"/>
      <protection/>
    </xf>
    <xf numFmtId="0" fontId="11" fillId="33" borderId="15" xfId="138" applyFont="1" applyFill="1" applyBorder="1" applyAlignment="1">
      <alignment horizontal="center" vertical="center" wrapText="1"/>
      <protection/>
    </xf>
    <xf numFmtId="0" fontId="59" fillId="0" borderId="15" xfId="138" applyFont="1" applyFill="1" applyBorder="1" applyAlignment="1">
      <alignment horizontal="center" vertical="center" wrapText="1"/>
      <protection/>
    </xf>
    <xf numFmtId="0" fontId="54" fillId="36" borderId="34" xfId="103" applyFont="1" applyFill="1" applyBorder="1" applyAlignment="1">
      <alignment horizontal="center" vertical="center" wrapText="1"/>
      <protection/>
    </xf>
    <xf numFmtId="0" fontId="3" fillId="0" borderId="0" xfId="103" applyFont="1" applyBorder="1" applyAlignment="1">
      <alignment horizontal="center" vertical="center"/>
      <protection/>
    </xf>
    <xf numFmtId="0" fontId="4" fillId="0" borderId="0" xfId="103" applyFont="1" applyAlignment="1">
      <alignment horizontal="center" vertical="center"/>
      <protection/>
    </xf>
    <xf numFmtId="3" fontId="11" fillId="33" borderId="15" xfId="138" applyNumberFormat="1" applyFont="1" applyFill="1" applyBorder="1" applyAlignment="1">
      <alignment horizontal="center" vertical="center" wrapText="1"/>
      <protection/>
    </xf>
    <xf numFmtId="3" fontId="11" fillId="33" borderId="20" xfId="138" applyNumberFormat="1" applyFont="1" applyFill="1" applyBorder="1" applyAlignment="1">
      <alignment horizontal="center" vertical="center" wrapText="1"/>
      <protection/>
    </xf>
    <xf numFmtId="0" fontId="63" fillId="0" borderId="0" xfId="0" applyFont="1" applyAlignment="1">
      <alignment horizontal="center" vertical="center"/>
    </xf>
    <xf numFmtId="0" fontId="3" fillId="0" borderId="0" xfId="0" applyFont="1" applyAlignment="1">
      <alignment horizontal="center" vertical="center"/>
    </xf>
    <xf numFmtId="0" fontId="4" fillId="0" borderId="0" xfId="0" applyFont="1" applyBorder="1" applyAlignment="1">
      <alignment horizontal="left" vertical="center" wrapText="1"/>
    </xf>
    <xf numFmtId="0" fontId="5" fillId="0" borderId="20"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20" xfId="0" applyFont="1" applyFill="1" applyBorder="1" applyAlignment="1">
      <alignment horizontal="center" vertical="center" wrapText="1"/>
    </xf>
    <xf numFmtId="0" fontId="5" fillId="0" borderId="21" xfId="0" applyFont="1" applyFill="1" applyBorder="1" applyAlignment="1">
      <alignment horizontal="center" vertical="center" wrapText="1"/>
    </xf>
    <xf numFmtId="0" fontId="4" fillId="0" borderId="34" xfId="117" applyFont="1" applyFill="1" applyBorder="1" applyAlignment="1">
      <alignment horizontal="left" vertical="center" wrapText="1"/>
      <protection/>
    </xf>
    <xf numFmtId="0" fontId="4" fillId="0" borderId="0" xfId="117" applyFont="1" applyFill="1" applyBorder="1" applyAlignment="1">
      <alignment horizontal="left" vertical="center" wrapText="1"/>
      <protection/>
    </xf>
    <xf numFmtId="0" fontId="4" fillId="0" borderId="37" xfId="117" applyFont="1" applyFill="1" applyBorder="1" applyAlignment="1">
      <alignment horizontal="left" vertical="center" wrapText="1"/>
      <protection/>
    </xf>
    <xf numFmtId="0" fontId="2" fillId="0" borderId="0" xfId="0" applyFont="1" applyAlignment="1">
      <alignment horizontal="center" vertical="center"/>
    </xf>
    <xf numFmtId="0" fontId="18" fillId="0" borderId="0" xfId="0" applyFont="1" applyAlignment="1">
      <alignment horizontal="center" vertical="center"/>
    </xf>
    <xf numFmtId="1" fontId="63" fillId="0" borderId="0" xfId="133" applyNumberFormat="1" applyFont="1" applyFill="1" applyBorder="1" applyAlignment="1">
      <alignment horizontal="center" vertical="center" wrapText="1"/>
      <protection/>
    </xf>
    <xf numFmtId="1" fontId="3" fillId="0" borderId="0" xfId="133" applyNumberFormat="1" applyFont="1" applyFill="1" applyAlignment="1">
      <alignment horizontal="center" vertical="center"/>
      <protection/>
    </xf>
    <xf numFmtId="1" fontId="3" fillId="0" borderId="0" xfId="133" applyNumberFormat="1" applyFont="1" applyFill="1" applyBorder="1" applyAlignment="1">
      <alignment horizontal="center" vertical="center" wrapText="1"/>
      <protection/>
    </xf>
    <xf numFmtId="0" fontId="60" fillId="0" borderId="15" xfId="121" applyFont="1" applyFill="1" applyBorder="1" applyAlignment="1">
      <alignment horizontal="center" vertical="center" wrapText="1"/>
      <protection/>
    </xf>
    <xf numFmtId="0" fontId="83" fillId="0" borderId="24" xfId="121" applyFont="1" applyFill="1" applyBorder="1" applyAlignment="1">
      <alignment horizontal="center" vertical="center" wrapText="1"/>
      <protection/>
    </xf>
    <xf numFmtId="0" fontId="83" fillId="0" borderId="26" xfId="121" applyFont="1" applyFill="1" applyBorder="1" applyAlignment="1">
      <alignment horizontal="center" vertical="center" wrapText="1"/>
      <protection/>
    </xf>
    <xf numFmtId="0" fontId="83" fillId="0" borderId="25" xfId="121" applyFont="1" applyFill="1" applyBorder="1" applyAlignment="1">
      <alignment horizontal="center" vertical="center" wrapText="1"/>
      <protection/>
    </xf>
    <xf numFmtId="175" fontId="60" fillId="0" borderId="24" xfId="71" applyNumberFormat="1" applyFont="1" applyFill="1" applyBorder="1" applyAlignment="1">
      <alignment horizontal="center" vertical="center" wrapText="1"/>
    </xf>
    <xf numFmtId="175" fontId="60" fillId="0" borderId="25" xfId="71" applyNumberFormat="1" applyFont="1" applyFill="1" applyBorder="1" applyAlignment="1">
      <alignment horizontal="center" vertical="center" wrapText="1"/>
    </xf>
    <xf numFmtId="0" fontId="60" fillId="0" borderId="24" xfId="121" applyFont="1" applyFill="1" applyBorder="1" applyAlignment="1">
      <alignment horizontal="center" vertical="center" wrapText="1"/>
      <protection/>
    </xf>
    <xf numFmtId="0" fontId="60" fillId="0" borderId="26" xfId="121" applyFont="1" applyFill="1" applyBorder="1" applyAlignment="1">
      <alignment horizontal="center" vertical="center" wrapText="1"/>
      <protection/>
    </xf>
    <xf numFmtId="0" fontId="60" fillId="0" borderId="25" xfId="121" applyFont="1" applyFill="1" applyBorder="1" applyAlignment="1">
      <alignment horizontal="center" vertical="center" wrapText="1"/>
      <protection/>
    </xf>
    <xf numFmtId="175" fontId="60" fillId="0" borderId="27" xfId="71" applyNumberFormat="1" applyFont="1" applyFill="1" applyBorder="1" applyAlignment="1">
      <alignment horizontal="center" vertical="center" wrapText="1"/>
    </xf>
    <xf numFmtId="175" fontId="60" fillId="0" borderId="28" xfId="71" applyNumberFormat="1" applyFont="1" applyFill="1" applyBorder="1" applyAlignment="1">
      <alignment horizontal="center" vertical="center" wrapText="1"/>
    </xf>
    <xf numFmtId="175" fontId="60" fillId="0" borderId="29" xfId="71" applyNumberFormat="1" applyFont="1" applyFill="1" applyBorder="1" applyAlignment="1">
      <alignment horizontal="center" vertical="center" wrapText="1"/>
    </xf>
    <xf numFmtId="0" fontId="64" fillId="33" borderId="15" xfId="123" applyFont="1" applyFill="1" applyBorder="1" applyAlignment="1">
      <alignment horizontal="center" vertical="center" wrapText="1"/>
      <protection/>
    </xf>
    <xf numFmtId="0" fontId="64" fillId="0" borderId="15" xfId="123" applyFont="1" applyFill="1" applyBorder="1" applyAlignment="1">
      <alignment horizontal="center" vertical="center" wrapText="1"/>
      <protection/>
    </xf>
    <xf numFmtId="175" fontId="64" fillId="0" borderId="15" xfId="71" applyNumberFormat="1" applyFont="1" applyFill="1" applyBorder="1" applyAlignment="1">
      <alignment horizontal="center" vertical="center" wrapText="1"/>
    </xf>
    <xf numFmtId="43" fontId="64" fillId="0" borderId="20" xfId="52" applyFont="1" applyFill="1" applyBorder="1" applyAlignment="1">
      <alignment horizontal="center" vertical="center" wrapText="1"/>
    </xf>
    <xf numFmtId="43" fontId="64" fillId="0" borderId="21" xfId="52" applyFont="1" applyFill="1" applyBorder="1" applyAlignment="1">
      <alignment horizontal="center" vertical="center" wrapText="1"/>
    </xf>
    <xf numFmtId="43" fontId="64" fillId="0" borderId="21" xfId="52" applyFont="1" applyFill="1" applyBorder="1" applyAlignment="1" quotePrefix="1">
      <alignment horizontal="center" vertical="center" wrapText="1"/>
    </xf>
    <xf numFmtId="0" fontId="5" fillId="0" borderId="0" xfId="121" applyFont="1" applyFill="1" applyBorder="1" applyAlignment="1">
      <alignment horizontal="left" vertical="center"/>
      <protection/>
    </xf>
    <xf numFmtId="0" fontId="2" fillId="0" borderId="0" xfId="121" applyFont="1" applyFill="1" applyBorder="1" applyAlignment="1">
      <alignment horizontal="center" vertical="center" wrapText="1"/>
      <protection/>
    </xf>
    <xf numFmtId="0" fontId="4" fillId="0" borderId="0" xfId="121" applyFont="1" applyFill="1" applyBorder="1" applyAlignment="1">
      <alignment horizontal="center" vertical="center"/>
      <protection/>
    </xf>
    <xf numFmtId="0" fontId="64" fillId="0" borderId="15" xfId="121" applyFont="1" applyFill="1" applyBorder="1" applyAlignment="1">
      <alignment horizontal="center" vertical="center" wrapText="1"/>
      <protection/>
    </xf>
    <xf numFmtId="175" fontId="64" fillId="0" borderId="15" xfId="71" applyNumberFormat="1" applyFont="1" applyFill="1" applyBorder="1" applyAlignment="1">
      <alignment horizontal="right" vertical="center" wrapText="1"/>
    </xf>
    <xf numFmtId="0" fontId="64" fillId="0" borderId="15" xfId="15" applyFont="1" applyFill="1" applyBorder="1" applyAlignment="1">
      <alignment horizontal="center" vertical="center" wrapText="1"/>
      <protection/>
    </xf>
    <xf numFmtId="164" fontId="64" fillId="0" borderId="15" xfId="71" applyNumberFormat="1" applyFont="1" applyFill="1" applyBorder="1" applyAlignment="1">
      <alignment horizontal="center" vertical="center" wrapText="1"/>
    </xf>
    <xf numFmtId="0" fontId="4" fillId="33" borderId="1" xfId="141" applyFont="1" applyFill="1" applyBorder="1" applyAlignment="1">
      <alignment horizontal="center" vertical="center"/>
      <protection/>
    </xf>
    <xf numFmtId="0" fontId="2" fillId="33" borderId="0" xfId="141" applyFont="1" applyFill="1" applyAlignment="1">
      <alignment horizontal="center" vertical="center"/>
      <protection/>
    </xf>
    <xf numFmtId="0" fontId="2" fillId="33" borderId="0" xfId="141" applyFont="1" applyFill="1" applyAlignment="1">
      <alignment horizontal="left" vertical="center"/>
      <protection/>
    </xf>
    <xf numFmtId="0" fontId="7" fillId="33" borderId="0" xfId="141" applyFont="1" applyFill="1" applyAlignment="1">
      <alignment horizontal="right" vertical="center"/>
      <protection/>
    </xf>
    <xf numFmtId="0" fontId="3" fillId="33" borderId="0" xfId="141" applyFont="1" applyFill="1" applyAlignment="1">
      <alignment horizontal="center" vertical="center"/>
      <protection/>
    </xf>
    <xf numFmtId="49" fontId="0" fillId="33" borderId="15" xfId="141" applyNumberFormat="1" applyFont="1" applyFill="1" applyBorder="1" applyAlignment="1">
      <alignment horizontal="center" vertical="center" wrapText="1"/>
      <protection/>
    </xf>
    <xf numFmtId="0" fontId="6" fillId="33" borderId="0" xfId="141" applyFont="1" applyFill="1" applyAlignment="1">
      <alignment horizontal="left" vertical="center" wrapText="1"/>
      <protection/>
    </xf>
    <xf numFmtId="0" fontId="0" fillId="33" borderId="15" xfId="141" applyFont="1" applyFill="1" applyBorder="1" applyAlignment="1">
      <alignment horizontal="center" vertical="center"/>
      <protection/>
    </xf>
    <xf numFmtId="49" fontId="0" fillId="33" borderId="35" xfId="141" applyNumberFormat="1" applyFont="1" applyFill="1" applyBorder="1" applyAlignment="1">
      <alignment horizontal="center" vertical="center" wrapText="1"/>
      <protection/>
    </xf>
    <xf numFmtId="49" fontId="0" fillId="33" borderId="32" xfId="141" applyNumberFormat="1" applyFont="1" applyFill="1" applyBorder="1" applyAlignment="1">
      <alignment horizontal="center" vertical="center" wrapText="1"/>
      <protection/>
    </xf>
    <xf numFmtId="49" fontId="0" fillId="33" borderId="38" xfId="141" applyNumberFormat="1" applyFont="1" applyFill="1" applyBorder="1" applyAlignment="1">
      <alignment horizontal="center" vertical="center" wrapText="1"/>
      <protection/>
    </xf>
    <xf numFmtId="49" fontId="0" fillId="33" borderId="39" xfId="141" applyNumberFormat="1" applyFont="1" applyFill="1" applyBorder="1" applyAlignment="1">
      <alignment horizontal="center" vertical="center" wrapText="1"/>
      <protection/>
    </xf>
    <xf numFmtId="1" fontId="17" fillId="0" borderId="0" xfId="133" applyNumberFormat="1" applyFont="1" applyFill="1" applyAlignment="1">
      <alignment horizontal="left" vertical="center" wrapText="1"/>
      <protection/>
    </xf>
    <xf numFmtId="3" fontId="6" fillId="0" borderId="15" xfId="133" applyNumberFormat="1" applyFont="1" applyFill="1" applyBorder="1" applyAlignment="1">
      <alignment horizontal="center" vertical="center" wrapText="1"/>
      <protection/>
    </xf>
    <xf numFmtId="1" fontId="6" fillId="0" borderId="0" xfId="133" applyNumberFormat="1" applyFont="1" applyFill="1" applyAlignment="1">
      <alignment horizontal="left" vertical="center" wrapText="1"/>
      <protection/>
    </xf>
    <xf numFmtId="0" fontId="20" fillId="0" borderId="15" xfId="112" applyFont="1" applyBorder="1" applyAlignment="1">
      <alignment horizontal="center" vertical="center" wrapText="1"/>
      <protection/>
    </xf>
    <xf numFmtId="3" fontId="0" fillId="0" borderId="20" xfId="133" applyNumberFormat="1" applyFont="1" applyBorder="1" applyAlignment="1">
      <alignment horizontal="center" vertical="center" wrapText="1"/>
      <protection/>
    </xf>
    <xf numFmtId="3" fontId="0" fillId="0" borderId="10" xfId="133" applyNumberFormat="1" applyFont="1" applyBorder="1" applyAlignment="1">
      <alignment horizontal="center" vertical="center" wrapText="1"/>
      <protection/>
    </xf>
    <xf numFmtId="3" fontId="6" fillId="0" borderId="10" xfId="133" applyNumberFormat="1" applyFont="1" applyBorder="1" applyAlignment="1">
      <alignment horizontal="center" vertical="center" wrapText="1"/>
      <protection/>
    </xf>
    <xf numFmtId="3" fontId="6" fillId="0" borderId="21" xfId="133" applyNumberFormat="1" applyFont="1" applyBorder="1" applyAlignment="1">
      <alignment horizontal="center" vertical="center" wrapText="1"/>
      <protection/>
    </xf>
    <xf numFmtId="3" fontId="0" fillId="0" borderId="15" xfId="133" applyNumberFormat="1" applyFont="1" applyFill="1" applyBorder="1" applyAlignment="1">
      <alignment horizontal="center" vertical="center" wrapText="1"/>
      <protection/>
    </xf>
    <xf numFmtId="3" fontId="6" fillId="0" borderId="20" xfId="133" applyNumberFormat="1" applyFont="1" applyBorder="1" applyAlignment="1">
      <alignment horizontal="center" vertical="center" wrapText="1"/>
      <protection/>
    </xf>
    <xf numFmtId="3" fontId="6" fillId="0" borderId="33" xfId="133" applyNumberFormat="1" applyFont="1" applyBorder="1" applyAlignment="1">
      <alignment horizontal="center" vertical="center" wrapText="1"/>
      <protection/>
    </xf>
    <xf numFmtId="3" fontId="6" fillId="0" borderId="5" xfId="133" applyNumberFormat="1" applyFont="1" applyBorder="1" applyAlignment="1">
      <alignment horizontal="center" vertical="center" wrapText="1"/>
      <protection/>
    </xf>
    <xf numFmtId="3" fontId="6" fillId="0" borderId="30" xfId="133" applyNumberFormat="1" applyFont="1" applyBorder="1" applyAlignment="1">
      <alignment horizontal="center" vertical="center" wrapText="1"/>
      <protection/>
    </xf>
    <xf numFmtId="1" fontId="21" fillId="0" borderId="0" xfId="133" applyNumberFormat="1" applyFont="1" applyFill="1" applyAlignment="1">
      <alignment vertical="center" wrapText="1"/>
      <protection/>
    </xf>
    <xf numFmtId="3" fontId="6" fillId="0" borderId="33" xfId="133" applyNumberFormat="1" applyFont="1" applyFill="1" applyBorder="1" applyAlignment="1">
      <alignment horizontal="center" vertical="center" wrapText="1"/>
      <protection/>
    </xf>
    <xf numFmtId="3" fontId="6" fillId="0" borderId="5" xfId="133" applyNumberFormat="1" applyFont="1" applyFill="1" applyBorder="1" applyAlignment="1">
      <alignment horizontal="center" vertical="center" wrapText="1"/>
      <protection/>
    </xf>
    <xf numFmtId="3" fontId="6" fillId="0" borderId="30" xfId="133" applyNumberFormat="1" applyFont="1" applyFill="1" applyBorder="1" applyAlignment="1">
      <alignment horizontal="center" vertical="center" wrapText="1"/>
      <protection/>
    </xf>
    <xf numFmtId="1" fontId="19" fillId="0" borderId="0" xfId="133" applyNumberFormat="1" applyFont="1" applyFill="1" applyAlignment="1">
      <alignment horizontal="center" vertical="center" wrapText="1"/>
      <protection/>
    </xf>
    <xf numFmtId="1" fontId="15" fillId="0" borderId="1" xfId="133" applyNumberFormat="1" applyFont="1" applyFill="1" applyBorder="1" applyAlignment="1">
      <alignment horizontal="right" vertical="center"/>
      <protection/>
    </xf>
    <xf numFmtId="1" fontId="0" fillId="0" borderId="0" xfId="133" applyNumberFormat="1" applyFont="1" applyFill="1" applyAlignment="1">
      <alignment horizontal="left" vertical="center" wrapText="1"/>
      <protection/>
    </xf>
    <xf numFmtId="3" fontId="0" fillId="0" borderId="15" xfId="133" applyNumberFormat="1" applyFont="1" applyBorder="1" applyAlignment="1">
      <alignment horizontal="center" vertical="center" wrapText="1"/>
      <protection/>
    </xf>
    <xf numFmtId="1" fontId="5" fillId="0" borderId="0" xfId="133" applyNumberFormat="1" applyFont="1" applyFill="1" applyAlignment="1">
      <alignment vertical="center" wrapText="1"/>
      <protection/>
    </xf>
    <xf numFmtId="1" fontId="5" fillId="0" borderId="0" xfId="133" applyNumberFormat="1" applyFont="1" applyFill="1" applyAlignment="1">
      <alignment horizontal="center" vertical="center" wrapText="1"/>
      <protection/>
    </xf>
    <xf numFmtId="1" fontId="4" fillId="0" borderId="1" xfId="133" applyNumberFormat="1" applyFont="1" applyFill="1" applyBorder="1" applyAlignment="1">
      <alignment horizontal="center" vertical="center"/>
      <protection/>
    </xf>
    <xf numFmtId="0" fontId="5" fillId="0" borderId="0" xfId="0" applyFont="1" applyAlignment="1">
      <alignment horizontal="center"/>
    </xf>
    <xf numFmtId="0" fontId="4" fillId="0" borderId="0" xfId="0" applyFont="1" applyAlignment="1">
      <alignment horizontal="right"/>
    </xf>
    <xf numFmtId="0" fontId="5" fillId="0" borderId="15" xfId="0" applyFont="1" applyBorder="1" applyAlignment="1">
      <alignment horizontal="center"/>
    </xf>
    <xf numFmtId="0" fontId="5" fillId="0" borderId="15" xfId="0" applyFont="1" applyBorder="1" applyAlignment="1">
      <alignment horizontal="center" vertical="center"/>
    </xf>
    <xf numFmtId="0" fontId="5" fillId="0" borderId="15"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21" xfId="0" applyFont="1" applyBorder="1" applyAlignment="1">
      <alignment horizontal="center" vertical="center" wrapText="1"/>
    </xf>
    <xf numFmtId="0" fontId="0" fillId="0" borderId="0" xfId="0" applyFont="1" applyAlignment="1">
      <alignment horizontal="right" vertical="center"/>
    </xf>
    <xf numFmtId="0" fontId="5" fillId="0" borderId="0" xfId="0" applyFont="1" applyAlignment="1">
      <alignment horizontal="center" vertical="center"/>
    </xf>
    <xf numFmtId="0" fontId="4" fillId="0" borderId="0" xfId="0" applyFont="1" applyAlignment="1">
      <alignment horizontal="right" vertical="center"/>
    </xf>
    <xf numFmtId="0" fontId="5" fillId="0" borderId="15" xfId="114" applyFont="1" applyFill="1" applyBorder="1" applyAlignment="1">
      <alignment horizontal="center" vertical="center"/>
      <protection/>
    </xf>
    <xf numFmtId="0" fontId="5" fillId="0" borderId="15" xfId="114" applyFont="1" applyFill="1" applyBorder="1" applyAlignment="1">
      <alignment vertical="center" wrapText="1"/>
      <protection/>
    </xf>
    <xf numFmtId="0" fontId="5" fillId="0" borderId="15" xfId="114" applyFont="1" applyFill="1" applyBorder="1" applyAlignment="1">
      <alignment horizontal="center" vertical="center" wrapText="1"/>
      <protection/>
    </xf>
    <xf numFmtId="0" fontId="5" fillId="0" borderId="15" xfId="114" applyFont="1" applyFill="1" applyBorder="1" applyAlignment="1">
      <alignment vertical="center"/>
      <protection/>
    </xf>
    <xf numFmtId="0" fontId="5" fillId="0" borderId="0" xfId="114" applyFont="1" applyFill="1" applyAlignment="1">
      <alignment vertical="center"/>
      <protection/>
    </xf>
    <xf numFmtId="0" fontId="0" fillId="0" borderId="15" xfId="114" applyFont="1" applyFill="1" applyBorder="1" applyAlignment="1" quotePrefix="1">
      <alignment horizontal="center" vertical="center" wrapText="1"/>
      <protection/>
    </xf>
    <xf numFmtId="0" fontId="0" fillId="0" borderId="15" xfId="114" applyFont="1" applyFill="1" applyBorder="1" applyAlignment="1">
      <alignment vertical="center" wrapText="1"/>
      <protection/>
    </xf>
    <xf numFmtId="182" fontId="0" fillId="0" borderId="15" xfId="114" applyNumberFormat="1" applyFont="1" applyFill="1" applyBorder="1" applyAlignment="1">
      <alignment horizontal="right" vertical="center"/>
      <protection/>
    </xf>
    <xf numFmtId="169" fontId="0" fillId="0" borderId="15" xfId="114" applyNumberFormat="1" applyFont="1" applyFill="1" applyBorder="1" applyAlignment="1">
      <alignment horizontal="right" vertical="center"/>
      <protection/>
    </xf>
    <xf numFmtId="2" fontId="0" fillId="0" borderId="0" xfId="114" applyNumberFormat="1" applyFont="1" applyFill="1" applyAlignment="1">
      <alignment vertical="center"/>
      <protection/>
    </xf>
    <xf numFmtId="0" fontId="0" fillId="0" borderId="15" xfId="114" applyFont="1" applyFill="1" applyBorder="1" applyAlignment="1">
      <alignment horizontal="center" vertical="center" wrapText="1"/>
      <protection/>
    </xf>
    <xf numFmtId="4" fontId="4" fillId="0" borderId="15" xfId="114" applyNumberFormat="1" applyFont="1" applyFill="1" applyBorder="1" applyAlignment="1">
      <alignment horizontal="left" vertical="center" wrapText="1"/>
      <protection/>
    </xf>
    <xf numFmtId="4" fontId="66" fillId="0" borderId="15" xfId="114" applyNumberFormat="1" applyFont="1" applyFill="1" applyBorder="1" applyAlignment="1">
      <alignment horizontal="center" vertical="center" wrapText="1"/>
      <protection/>
    </xf>
    <xf numFmtId="0" fontId="0" fillId="0" borderId="15" xfId="114" applyFont="1" applyFill="1" applyBorder="1" applyAlignment="1">
      <alignment horizontal="center" vertical="center"/>
      <protection/>
    </xf>
    <xf numFmtId="0" fontId="0" fillId="0" borderId="15" xfId="114" applyFont="1" applyFill="1" applyBorder="1" applyAlignment="1">
      <alignment horizontal="right" vertical="center"/>
      <protection/>
    </xf>
    <xf numFmtId="0" fontId="54" fillId="0" borderId="15" xfId="114" applyFont="1" applyFill="1" applyBorder="1" applyAlignment="1">
      <alignment horizontal="center" vertical="center"/>
      <protection/>
    </xf>
    <xf numFmtId="0" fontId="0" fillId="0" borderId="15" xfId="114" applyFont="1" applyFill="1" applyBorder="1" applyAlignment="1">
      <alignment horizontal="right" vertical="center"/>
      <protection/>
    </xf>
    <xf numFmtId="0" fontId="4" fillId="0" borderId="0" xfId="114" applyFont="1" applyFill="1" applyAlignment="1">
      <alignment vertical="center"/>
      <protection/>
    </xf>
    <xf numFmtId="172" fontId="54" fillId="0" borderId="15" xfId="114" applyNumberFormat="1" applyFont="1" applyFill="1" applyBorder="1" applyAlignment="1">
      <alignment horizontal="center" vertical="center" wrapText="1"/>
      <protection/>
    </xf>
    <xf numFmtId="0" fontId="59" fillId="0" borderId="15" xfId="114" applyFont="1" applyFill="1" applyBorder="1" applyAlignment="1">
      <alignment horizontal="center" vertical="center" wrapText="1"/>
      <protection/>
    </xf>
    <xf numFmtId="0" fontId="5" fillId="0" borderId="15" xfId="114" applyFont="1" applyFill="1" applyBorder="1" applyAlignment="1">
      <alignment horizontal="right" vertical="center" wrapText="1"/>
      <protection/>
    </xf>
    <xf numFmtId="0" fontId="32" fillId="0" borderId="15" xfId="114" applyFont="1" applyFill="1" applyBorder="1" applyAlignment="1">
      <alignment horizontal="right" vertical="center" wrapText="1"/>
      <protection/>
    </xf>
    <xf numFmtId="4" fontId="0" fillId="0" borderId="15" xfId="114" applyNumberFormat="1" applyFont="1" applyFill="1" applyBorder="1" applyAlignment="1">
      <alignment horizontal="right" vertical="center"/>
      <protection/>
    </xf>
    <xf numFmtId="0" fontId="0" fillId="0" borderId="15" xfId="114" applyFont="1" applyFill="1" applyBorder="1" applyAlignment="1" quotePrefix="1">
      <alignment horizontal="center" vertical="center"/>
      <protection/>
    </xf>
    <xf numFmtId="0" fontId="0" fillId="0" borderId="15" xfId="114" applyFont="1" applyFill="1" applyBorder="1" applyAlignment="1">
      <alignment vertical="center" wrapText="1"/>
      <protection/>
    </xf>
    <xf numFmtId="183" fontId="0" fillId="0" borderId="15" xfId="114" applyNumberFormat="1" applyFont="1" applyFill="1" applyBorder="1" applyAlignment="1">
      <alignment horizontal="right" vertical="center"/>
      <protection/>
    </xf>
    <xf numFmtId="1" fontId="0" fillId="0" borderId="15" xfId="114" applyNumberFormat="1" applyFont="1" applyFill="1" applyBorder="1" applyAlignment="1">
      <alignment horizontal="right" vertical="center" wrapText="1"/>
      <protection/>
    </xf>
    <xf numFmtId="183" fontId="0" fillId="0" borderId="15" xfId="114" applyNumberFormat="1" applyFont="1" applyFill="1" applyBorder="1" applyAlignment="1">
      <alignment horizontal="right" vertical="center" wrapText="1"/>
      <protection/>
    </xf>
    <xf numFmtId="183" fontId="0" fillId="0" borderId="15" xfId="114" applyNumberFormat="1" applyFont="1" applyFill="1" applyBorder="1" applyAlignment="1">
      <alignment horizontal="right" vertical="center" wrapText="1"/>
      <protection/>
    </xf>
    <xf numFmtId="1" fontId="0" fillId="0" borderId="15" xfId="114" applyNumberFormat="1" applyFont="1" applyFill="1" applyBorder="1" applyAlignment="1">
      <alignment horizontal="right" vertical="center" wrapText="1"/>
      <protection/>
    </xf>
    <xf numFmtId="2" fontId="0" fillId="0" borderId="15" xfId="114" applyNumberFormat="1" applyFont="1" applyFill="1" applyBorder="1" applyAlignment="1">
      <alignment horizontal="right" vertical="center"/>
      <protection/>
    </xf>
    <xf numFmtId="181" fontId="0" fillId="0" borderId="15" xfId="114" applyNumberFormat="1" applyFont="1" applyFill="1" applyBorder="1" applyAlignment="1">
      <alignment horizontal="right" vertical="center"/>
      <protection/>
    </xf>
    <xf numFmtId="3" fontId="0" fillId="0" borderId="15" xfId="114" applyNumberFormat="1" applyFont="1" applyFill="1" applyBorder="1" applyAlignment="1">
      <alignment horizontal="right" vertical="center" wrapText="1"/>
      <protection/>
    </xf>
    <xf numFmtId="0" fontId="0" fillId="0" borderId="15" xfId="114" applyFont="1" applyFill="1" applyBorder="1" applyAlignment="1">
      <alignment horizontal="right" vertical="center" wrapText="1"/>
      <protection/>
    </xf>
    <xf numFmtId="2" fontId="0" fillId="0" borderId="15" xfId="114" applyNumberFormat="1" applyFont="1" applyFill="1" applyBorder="1" applyAlignment="1">
      <alignment horizontal="right" vertical="center" wrapText="1"/>
      <protection/>
    </xf>
    <xf numFmtId="4" fontId="0" fillId="0" borderId="15" xfId="114" applyNumberFormat="1" applyFont="1" applyFill="1" applyBorder="1" applyAlignment="1">
      <alignment horizontal="right" vertical="center" wrapText="1"/>
      <protection/>
    </xf>
    <xf numFmtId="2" fontId="0" fillId="0" borderId="15" xfId="114" applyNumberFormat="1" applyFont="1" applyFill="1" applyBorder="1" applyAlignment="1">
      <alignment horizontal="right" vertical="center" wrapText="1"/>
      <protection/>
    </xf>
    <xf numFmtId="3" fontId="32" fillId="0" borderId="15" xfId="114" applyNumberFormat="1" applyFont="1" applyFill="1" applyBorder="1" applyAlignment="1">
      <alignment horizontal="right" vertical="center" wrapText="1"/>
      <protection/>
    </xf>
    <xf numFmtId="0" fontId="54" fillId="0" borderId="15" xfId="128" applyFont="1" applyFill="1" applyBorder="1" applyAlignment="1">
      <alignment horizontal="center" vertical="center"/>
      <protection/>
    </xf>
    <xf numFmtId="175" fontId="0" fillId="0" borderId="15" xfId="83" applyNumberFormat="1" applyFont="1" applyFill="1" applyBorder="1" applyAlignment="1">
      <alignment horizontal="right" vertical="center" wrapText="1"/>
    </xf>
    <xf numFmtId="3" fontId="0" fillId="0" borderId="15" xfId="103" applyNumberFormat="1" applyFont="1" applyFill="1" applyBorder="1" applyAlignment="1">
      <alignment horizontal="right" vertical="center"/>
      <protection/>
    </xf>
    <xf numFmtId="182" fontId="0" fillId="0" borderId="15" xfId="103" applyNumberFormat="1" applyFont="1" applyFill="1" applyBorder="1" applyAlignment="1">
      <alignment horizontal="right" vertical="center"/>
      <protection/>
    </xf>
    <xf numFmtId="2" fontId="0" fillId="0" borderId="15" xfId="103" applyNumberFormat="1" applyFont="1" applyFill="1" applyBorder="1" applyAlignment="1">
      <alignment horizontal="right" vertical="center"/>
      <protection/>
    </xf>
    <xf numFmtId="4" fontId="0" fillId="0" borderId="15" xfId="0" applyNumberFormat="1" applyFont="1" applyFill="1" applyBorder="1" applyAlignment="1">
      <alignment horizontal="right" vertical="center" wrapText="1"/>
    </xf>
    <xf numFmtId="3" fontId="166" fillId="0" borderId="15" xfId="103" applyNumberFormat="1" applyFont="1" applyFill="1" applyBorder="1" applyAlignment="1">
      <alignment horizontal="right" vertical="center"/>
      <protection/>
    </xf>
    <xf numFmtId="4" fontId="4" fillId="0" borderId="15" xfId="0" applyNumberFormat="1" applyFont="1" applyFill="1" applyBorder="1" applyAlignment="1">
      <alignment horizontal="right" vertical="center" wrapText="1"/>
    </xf>
    <xf numFmtId="0" fontId="0" fillId="0" borderId="15" xfId="128" applyFont="1" applyFill="1" applyBorder="1" applyAlignment="1" quotePrefix="1">
      <alignment horizontal="center" vertical="center"/>
      <protection/>
    </xf>
    <xf numFmtId="0" fontId="0" fillId="0" borderId="15" xfId="128" applyFont="1" applyFill="1" applyBorder="1" applyAlignment="1">
      <alignment vertical="center" wrapText="1"/>
      <protection/>
    </xf>
    <xf numFmtId="3" fontId="0" fillId="0" borderId="15" xfId="128" applyNumberFormat="1" applyFont="1" applyFill="1" applyBorder="1" applyAlignment="1">
      <alignment horizontal="right" vertical="center"/>
      <protection/>
    </xf>
    <xf numFmtId="2" fontId="0" fillId="0" borderId="15" xfId="128" applyNumberFormat="1" applyFont="1" applyFill="1" applyBorder="1" applyAlignment="1">
      <alignment horizontal="right" vertical="center"/>
      <protection/>
    </xf>
    <xf numFmtId="3" fontId="166" fillId="0" borderId="15" xfId="128" applyNumberFormat="1" applyFont="1" applyFill="1" applyBorder="1" applyAlignment="1">
      <alignment horizontal="right" vertical="center"/>
      <protection/>
    </xf>
    <xf numFmtId="0" fontId="0" fillId="0" borderId="0" xfId="128" applyFont="1" applyFill="1" applyAlignment="1">
      <alignment vertical="center"/>
      <protection/>
    </xf>
    <xf numFmtId="2" fontId="0" fillId="0" borderId="15" xfId="83" applyNumberFormat="1" applyFont="1" applyFill="1" applyBorder="1" applyAlignment="1">
      <alignment horizontal="right" vertical="center" wrapText="1"/>
    </xf>
    <xf numFmtId="0" fontId="0" fillId="0" borderId="15" xfId="128" applyFont="1" applyFill="1" applyBorder="1" applyAlignment="1">
      <alignment vertical="center"/>
      <protection/>
    </xf>
    <xf numFmtId="0" fontId="54" fillId="0" borderId="15" xfId="128" applyFont="1" applyFill="1" applyBorder="1" applyAlignment="1">
      <alignment horizontal="center" vertical="center"/>
      <protection/>
    </xf>
    <xf numFmtId="3" fontId="0" fillId="0" borderId="15" xfId="83" applyNumberFormat="1" applyFont="1" applyFill="1" applyBorder="1" applyAlignment="1">
      <alignment horizontal="right" vertical="center" wrapText="1"/>
    </xf>
    <xf numFmtId="4" fontId="0" fillId="0" borderId="15" xfId="128" applyNumberFormat="1" applyFont="1" applyFill="1" applyBorder="1" applyAlignment="1">
      <alignment horizontal="right" vertical="center" wrapText="1"/>
      <protection/>
    </xf>
    <xf numFmtId="4" fontId="0" fillId="0" borderId="15" xfId="128" applyNumberFormat="1" applyFont="1" applyFill="1" applyBorder="1" applyAlignment="1">
      <alignment horizontal="right" vertical="center" wrapText="1"/>
      <protection/>
    </xf>
    <xf numFmtId="2" fontId="0" fillId="0" borderId="15" xfId="103" applyNumberFormat="1" applyFont="1" applyFill="1" applyBorder="1" applyAlignment="1">
      <alignment horizontal="right" vertical="center"/>
      <protection/>
    </xf>
    <xf numFmtId="4" fontId="0" fillId="0" borderId="15" xfId="0" applyNumberFormat="1" applyFont="1" applyFill="1" applyBorder="1" applyAlignment="1">
      <alignment horizontal="right" vertical="center" wrapText="1"/>
    </xf>
    <xf numFmtId="4" fontId="4" fillId="0" borderId="15" xfId="0" applyNumberFormat="1" applyFont="1" applyFill="1" applyBorder="1" applyAlignment="1">
      <alignment horizontal="right" vertical="center" wrapText="1"/>
    </xf>
    <xf numFmtId="3" fontId="166" fillId="0" borderId="15" xfId="83" applyNumberFormat="1" applyFont="1" applyFill="1" applyBorder="1" applyAlignment="1">
      <alignment horizontal="right" vertical="center" wrapText="1"/>
    </xf>
    <xf numFmtId="164" fontId="0" fillId="0" borderId="15" xfId="83" applyNumberFormat="1" applyFont="1" applyFill="1" applyBorder="1" applyAlignment="1">
      <alignment horizontal="right" vertical="center" wrapText="1"/>
    </xf>
    <xf numFmtId="164" fontId="166" fillId="0" borderId="15" xfId="83" applyNumberFormat="1" applyFont="1" applyFill="1" applyBorder="1" applyAlignment="1">
      <alignment horizontal="right" vertical="center" wrapText="1"/>
    </xf>
    <xf numFmtId="3" fontId="0" fillId="0" borderId="15" xfId="103" applyNumberFormat="1" applyFont="1" applyFill="1" applyBorder="1" applyAlignment="1">
      <alignment vertical="center"/>
      <protection/>
    </xf>
    <xf numFmtId="164" fontId="0" fillId="0" borderId="15" xfId="68" applyNumberFormat="1" applyFont="1" applyFill="1" applyBorder="1" applyAlignment="1">
      <alignment horizontal="center" vertical="center"/>
    </xf>
    <xf numFmtId="3" fontId="166" fillId="0" borderId="15" xfId="103" applyNumberFormat="1" applyFont="1" applyFill="1" applyBorder="1" applyAlignment="1">
      <alignment vertical="center"/>
      <protection/>
    </xf>
    <xf numFmtId="0" fontId="166" fillId="0" borderId="15" xfId="128" applyFont="1" applyFill="1" applyBorder="1" applyAlignment="1">
      <alignment vertical="center" wrapText="1"/>
      <protection/>
    </xf>
    <xf numFmtId="2" fontId="166" fillId="0" borderId="15" xfId="103" applyNumberFormat="1" applyFont="1" applyFill="1" applyBorder="1" applyAlignment="1">
      <alignment horizontal="right" vertical="center"/>
      <protection/>
    </xf>
    <xf numFmtId="0" fontId="59" fillId="0" borderId="15" xfId="114" applyFont="1" applyFill="1" applyBorder="1" applyAlignment="1">
      <alignment horizontal="center" vertical="center"/>
      <protection/>
    </xf>
    <xf numFmtId="3" fontId="5" fillId="0" borderId="15" xfId="114" applyNumberFormat="1" applyFont="1" applyFill="1" applyBorder="1" applyAlignment="1">
      <alignment horizontal="right" vertical="center" wrapText="1"/>
      <protection/>
    </xf>
    <xf numFmtId="3" fontId="0" fillId="0" borderId="15" xfId="114" applyNumberFormat="1" applyFont="1" applyFill="1" applyBorder="1" applyAlignment="1">
      <alignment horizontal="right" vertical="center"/>
      <protection/>
    </xf>
    <xf numFmtId="0" fontId="4" fillId="0" borderId="15" xfId="114" applyFont="1" applyFill="1" applyBorder="1" applyAlignment="1">
      <alignment vertical="center" wrapText="1"/>
      <protection/>
    </xf>
    <xf numFmtId="0" fontId="4" fillId="0" borderId="15" xfId="114" applyFont="1" applyFill="1" applyBorder="1" applyAlignment="1">
      <alignment horizontal="center" vertical="center"/>
      <protection/>
    </xf>
    <xf numFmtId="0" fontId="0" fillId="0" borderId="15" xfId="114" applyFont="1" applyFill="1" applyBorder="1" applyAlignment="1" quotePrefix="1">
      <alignment vertical="center" wrapText="1"/>
      <protection/>
    </xf>
    <xf numFmtId="0" fontId="0" fillId="0" borderId="15" xfId="114" applyFont="1" applyFill="1" applyBorder="1" applyAlignment="1">
      <alignment horizontal="right" vertical="center" wrapText="1"/>
      <protection/>
    </xf>
    <xf numFmtId="0" fontId="0" fillId="0" borderId="15" xfId="128" applyFont="1" applyFill="1" applyBorder="1" applyAlignment="1">
      <alignment horizontal="right" vertical="center" wrapText="1"/>
      <protection/>
    </xf>
    <xf numFmtId="0" fontId="4" fillId="0" borderId="34" xfId="114" applyFont="1" applyFill="1" applyBorder="1" applyAlignment="1">
      <alignment horizontal="left" vertical="center" wrapText="1"/>
      <protection/>
    </xf>
    <xf numFmtId="0" fontId="66" fillId="0" borderId="15" xfId="114" applyFont="1" applyFill="1" applyBorder="1" applyAlignment="1">
      <alignment horizontal="center" vertical="center"/>
      <protection/>
    </xf>
    <xf numFmtId="4" fontId="0" fillId="0" borderId="15" xfId="114" applyNumberFormat="1" applyFont="1" applyFill="1" applyBorder="1" applyAlignment="1">
      <alignment horizontal="right" vertical="center"/>
      <protection/>
    </xf>
    <xf numFmtId="4" fontId="4" fillId="0" borderId="15" xfId="114" applyNumberFormat="1" applyFont="1" applyFill="1" applyBorder="1" applyAlignment="1">
      <alignment horizontal="right" vertical="center"/>
      <protection/>
    </xf>
    <xf numFmtId="0" fontId="0" fillId="0" borderId="15" xfId="125" applyFont="1" applyFill="1" applyBorder="1" applyAlignment="1">
      <alignment horizontal="right" vertical="center"/>
      <protection/>
    </xf>
    <xf numFmtId="0" fontId="0" fillId="0" borderId="15" xfId="125" applyFont="1" applyFill="1" applyBorder="1" applyAlignment="1">
      <alignment horizontal="right" vertical="center"/>
      <protection/>
    </xf>
    <xf numFmtId="0" fontId="0" fillId="0" borderId="15" xfId="0" applyFont="1" applyFill="1" applyBorder="1" applyAlignment="1">
      <alignment horizontal="right" vertical="center"/>
    </xf>
    <xf numFmtId="3" fontId="0" fillId="0" borderId="15" xfId="0" applyNumberFormat="1" applyFont="1" applyFill="1" applyBorder="1" applyAlignment="1">
      <alignment horizontal="right" vertical="center" wrapText="1"/>
    </xf>
    <xf numFmtId="0" fontId="0" fillId="0" borderId="15" xfId="0" applyFont="1" applyFill="1" applyBorder="1" applyAlignment="1">
      <alignment horizontal="right" vertical="center" wrapText="1"/>
    </xf>
    <xf numFmtId="4" fontId="0" fillId="0" borderId="15" xfId="0" applyNumberFormat="1" applyFont="1" applyFill="1" applyBorder="1" applyAlignment="1">
      <alignment horizontal="center" vertical="center" wrapText="1"/>
    </xf>
    <xf numFmtId="3" fontId="0" fillId="0" borderId="15" xfId="126" applyNumberFormat="1" applyFont="1" applyFill="1" applyBorder="1" applyAlignment="1">
      <alignment horizontal="right" vertical="center"/>
      <protection/>
    </xf>
    <xf numFmtId="3" fontId="0" fillId="0" borderId="15" xfId="114" applyNumberFormat="1" applyFont="1" applyFill="1" applyBorder="1" applyAlignment="1">
      <alignment horizontal="right" vertical="center" wrapText="1"/>
      <protection/>
    </xf>
    <xf numFmtId="4" fontId="0" fillId="0" borderId="15" xfId="126" applyNumberFormat="1" applyFont="1" applyFill="1" applyBorder="1" applyAlignment="1">
      <alignment horizontal="right" vertical="center"/>
      <protection/>
    </xf>
    <xf numFmtId="4" fontId="0" fillId="0" borderId="15" xfId="114" applyNumberFormat="1" applyFont="1" applyFill="1" applyBorder="1" applyAlignment="1">
      <alignment horizontal="right" vertical="center" wrapText="1"/>
      <protection/>
    </xf>
    <xf numFmtId="0" fontId="5" fillId="0" borderId="15" xfId="114" applyFont="1" applyFill="1" applyBorder="1" applyAlignment="1" quotePrefix="1">
      <alignment horizontal="center" vertical="center" wrapText="1"/>
      <protection/>
    </xf>
    <xf numFmtId="0" fontId="54" fillId="0" borderId="15" xfId="114" applyFont="1" applyFill="1" applyBorder="1" applyAlignment="1">
      <alignment horizontal="center" vertical="center"/>
      <protection/>
    </xf>
    <xf numFmtId="2" fontId="0" fillId="0" borderId="15" xfId="125" applyNumberFormat="1" applyFont="1" applyFill="1" applyBorder="1" applyAlignment="1">
      <alignment horizontal="right" vertical="center"/>
      <protection/>
    </xf>
    <xf numFmtId="0" fontId="8" fillId="0" borderId="15" xfId="114" applyFont="1" applyFill="1" applyBorder="1" applyAlignment="1" quotePrefix="1">
      <alignment horizontal="center" vertical="center" wrapText="1"/>
      <protection/>
    </xf>
    <xf numFmtId="0" fontId="4" fillId="0" borderId="15" xfId="114" applyFont="1" applyFill="1" applyBorder="1" applyAlignment="1">
      <alignment vertical="center" wrapText="1"/>
      <protection/>
    </xf>
    <xf numFmtId="0" fontId="66" fillId="0" borderId="15" xfId="114" applyFont="1" applyFill="1" applyBorder="1" applyAlignment="1">
      <alignment horizontal="center" vertical="center"/>
      <protection/>
    </xf>
    <xf numFmtId="3" fontId="4" fillId="0" borderId="15" xfId="114" applyNumberFormat="1" applyFont="1" applyFill="1" applyBorder="1" applyAlignment="1">
      <alignment horizontal="right" vertical="center"/>
      <protection/>
    </xf>
    <xf numFmtId="169" fontId="4" fillId="0" borderId="15" xfId="114" applyNumberFormat="1" applyFont="1" applyFill="1" applyBorder="1" applyAlignment="1">
      <alignment horizontal="right" vertical="center"/>
      <protection/>
    </xf>
    <xf numFmtId="182" fontId="4" fillId="0" borderId="15" xfId="114" applyNumberFormat="1" applyFont="1" applyFill="1" applyBorder="1" applyAlignment="1">
      <alignment horizontal="right" vertical="center"/>
      <protection/>
    </xf>
    <xf numFmtId="4" fontId="4" fillId="0" borderId="15" xfId="114" applyNumberFormat="1" applyFont="1" applyFill="1" applyBorder="1" applyAlignment="1">
      <alignment horizontal="right" vertical="center"/>
      <protection/>
    </xf>
    <xf numFmtId="0" fontId="8" fillId="0" borderId="0" xfId="114" applyFont="1" applyFill="1" applyAlignment="1">
      <alignment vertical="center"/>
      <protection/>
    </xf>
    <xf numFmtId="172" fontId="4" fillId="0" borderId="15" xfId="114" applyNumberFormat="1" applyFont="1" applyFill="1" applyBorder="1" applyAlignment="1">
      <alignment horizontal="right" vertical="center"/>
      <protection/>
    </xf>
    <xf numFmtId="0" fontId="0" fillId="0" borderId="15" xfId="114" applyFont="1" applyFill="1" applyBorder="1" applyAlignment="1" quotePrefix="1">
      <alignment horizontal="center" vertical="center"/>
      <protection/>
    </xf>
    <xf numFmtId="0" fontId="0" fillId="0" borderId="15" xfId="130" applyFont="1" applyFill="1" applyBorder="1" applyAlignment="1">
      <alignment horizontal="right" vertical="center"/>
      <protection/>
    </xf>
    <xf numFmtId="181" fontId="0" fillId="0" borderId="15" xfId="130" applyNumberFormat="1" applyFont="1" applyFill="1" applyBorder="1" applyAlignment="1">
      <alignment horizontal="right" vertical="center"/>
      <protection/>
    </xf>
    <xf numFmtId="0" fontId="8" fillId="0" borderId="0" xfId="114" applyFont="1" applyFill="1" applyAlignment="1">
      <alignment vertical="center"/>
      <protection/>
    </xf>
    <xf numFmtId="0" fontId="0" fillId="0" borderId="15" xfId="131" applyFont="1" applyFill="1" applyBorder="1" applyAlignment="1">
      <alignment horizontal="right" vertical="center"/>
      <protection/>
    </xf>
    <xf numFmtId="0" fontId="0" fillId="0" borderId="15" xfId="101" applyFont="1" applyFill="1" applyBorder="1" applyAlignment="1">
      <alignment horizontal="right" vertical="center"/>
      <protection/>
    </xf>
    <xf numFmtId="181" fontId="0" fillId="0" borderId="15" xfId="101" applyNumberFormat="1" applyFont="1" applyFill="1" applyBorder="1" applyAlignment="1">
      <alignment horizontal="right" vertical="center"/>
      <protection/>
    </xf>
    <xf numFmtId="181" fontId="0" fillId="0" borderId="15" xfId="101" applyNumberFormat="1" applyFont="1" applyFill="1" applyBorder="1" applyAlignment="1">
      <alignment horizontal="right" vertical="center"/>
      <protection/>
    </xf>
    <xf numFmtId="0" fontId="0" fillId="0" borderId="15" xfId="102" applyFont="1" applyFill="1" applyBorder="1" applyAlignment="1">
      <alignment horizontal="right" vertical="center"/>
      <protection/>
    </xf>
    <xf numFmtId="181" fontId="0" fillId="0" borderId="15" xfId="102" applyNumberFormat="1" applyFont="1" applyFill="1" applyBorder="1" applyAlignment="1">
      <alignment horizontal="right" vertical="center"/>
      <protection/>
    </xf>
    <xf numFmtId="0" fontId="31" fillId="0" borderId="15" xfId="114" applyFont="1" applyFill="1" applyBorder="1" applyAlignment="1" quotePrefix="1">
      <alignment horizontal="center" vertical="center" wrapText="1"/>
      <protection/>
    </xf>
    <xf numFmtId="0" fontId="0" fillId="0" borderId="15" xfId="114" applyFont="1" applyFill="1" applyBorder="1" applyAlignment="1">
      <alignment horizontal="justify" vertical="center" wrapText="1"/>
      <protection/>
    </xf>
    <xf numFmtId="0" fontId="0" fillId="0" borderId="15" xfId="104" applyFont="1" applyFill="1" applyBorder="1" applyAlignment="1">
      <alignment horizontal="right" vertical="center"/>
      <protection/>
    </xf>
    <xf numFmtId="181" fontId="0" fillId="0" borderId="15" xfId="104" applyNumberFormat="1" applyFont="1" applyFill="1" applyBorder="1" applyAlignment="1">
      <alignment horizontal="right" vertical="center"/>
      <protection/>
    </xf>
    <xf numFmtId="0" fontId="0" fillId="0" borderId="15" xfId="105" applyFont="1" applyFill="1" applyBorder="1" applyAlignment="1">
      <alignment horizontal="right" vertical="center"/>
      <protection/>
    </xf>
    <xf numFmtId="181" fontId="0" fillId="0" borderId="15" xfId="105" applyNumberFormat="1" applyFont="1" applyFill="1" applyBorder="1" applyAlignment="1">
      <alignment horizontal="right" vertical="center"/>
      <protection/>
    </xf>
    <xf numFmtId="181" fontId="0" fillId="0" borderId="15" xfId="106" applyNumberFormat="1" applyFont="1" applyFill="1" applyBorder="1" applyAlignment="1">
      <alignment horizontal="right" vertical="center"/>
      <protection/>
    </xf>
    <xf numFmtId="2" fontId="0" fillId="0" borderId="15" xfId="0" applyNumberFormat="1" applyFont="1" applyFill="1" applyBorder="1" applyAlignment="1">
      <alignment horizontal="right" vertical="center"/>
    </xf>
    <xf numFmtId="0" fontId="76" fillId="0" borderId="15" xfId="114" applyFont="1" applyFill="1" applyBorder="1" applyAlignment="1">
      <alignment horizontal="center" vertical="center" wrapText="1"/>
      <protection/>
    </xf>
    <xf numFmtId="181" fontId="0" fillId="0" borderId="15" xfId="0" applyNumberFormat="1" applyFont="1" applyFill="1" applyBorder="1" applyAlignment="1">
      <alignment horizontal="right" vertical="center"/>
    </xf>
    <xf numFmtId="181" fontId="169" fillId="0" borderId="15" xfId="103" applyNumberFormat="1" applyFont="1" applyFill="1" applyBorder="1" applyAlignment="1">
      <alignment horizontal="right" vertical="center" wrapText="1"/>
      <protection/>
    </xf>
    <xf numFmtId="1" fontId="169" fillId="0" borderId="15" xfId="136" applyNumberFormat="1" applyFont="1" applyFill="1" applyBorder="1" applyAlignment="1">
      <alignment horizontal="right" vertical="center" wrapText="1"/>
      <protection/>
    </xf>
    <xf numFmtId="0" fontId="169" fillId="0" borderId="15" xfId="136" applyFont="1" applyFill="1" applyBorder="1" applyAlignment="1">
      <alignment horizontal="right" vertical="center" wrapText="1"/>
      <protection/>
    </xf>
    <xf numFmtId="0" fontId="170" fillId="0" borderId="21" xfId="136" applyFont="1" applyFill="1" applyBorder="1" applyAlignment="1">
      <alignment horizontal="center" vertical="center" wrapText="1"/>
      <protection/>
    </xf>
    <xf numFmtId="49" fontId="170" fillId="0" borderId="30" xfId="136" applyNumberFormat="1" applyFont="1" applyFill="1" applyBorder="1" applyAlignment="1" quotePrefix="1">
      <alignment vertical="center" wrapText="1"/>
      <protection/>
    </xf>
    <xf numFmtId="0" fontId="171" fillId="0" borderId="15" xfId="136" applyFont="1" applyFill="1" applyBorder="1" applyAlignment="1">
      <alignment horizontal="center" vertical="center" wrapText="1"/>
      <protection/>
    </xf>
    <xf numFmtId="3" fontId="170" fillId="0" borderId="15" xfId="136" applyNumberFormat="1" applyFont="1" applyFill="1" applyBorder="1" applyAlignment="1">
      <alignment horizontal="right" vertical="center" wrapText="1"/>
      <protection/>
    </xf>
    <xf numFmtId="0" fontId="170" fillId="0" borderId="0" xfId="103" applyFont="1" applyFill="1" applyAlignment="1">
      <alignment vertical="center"/>
      <protection/>
    </xf>
    <xf numFmtId="0" fontId="169" fillId="0" borderId="21" xfId="136" applyFont="1" applyFill="1" applyBorder="1" applyAlignment="1">
      <alignment horizontal="center" vertical="center" wrapText="1"/>
      <protection/>
    </xf>
    <xf numFmtId="49" fontId="169" fillId="0" borderId="30" xfId="136" applyNumberFormat="1" applyFont="1" applyFill="1" applyBorder="1" applyAlignment="1" quotePrefix="1">
      <alignment vertical="center" wrapText="1"/>
      <protection/>
    </xf>
    <xf numFmtId="0" fontId="150" fillId="0" borderId="15" xfId="136" applyFont="1" applyFill="1" applyBorder="1" applyAlignment="1">
      <alignment horizontal="center" vertical="center" wrapText="1"/>
      <protection/>
    </xf>
    <xf numFmtId="3" fontId="169" fillId="0" borderId="15" xfId="136" applyNumberFormat="1" applyFont="1" applyFill="1" applyBorder="1" applyAlignment="1">
      <alignment horizontal="right" vertical="center" wrapText="1"/>
      <protection/>
    </xf>
    <xf numFmtId="172" fontId="169" fillId="0" borderId="15" xfId="103" applyNumberFormat="1" applyFont="1" applyFill="1" applyBorder="1" applyAlignment="1">
      <alignment horizontal="right" vertical="center" wrapText="1"/>
      <protection/>
    </xf>
    <xf numFmtId="0" fontId="169" fillId="0" borderId="0" xfId="103" applyFont="1" applyFill="1" applyAlignment="1">
      <alignment vertical="center"/>
      <protection/>
    </xf>
    <xf numFmtId="169" fontId="58" fillId="0" borderId="18" xfId="103" applyNumberFormat="1" applyFont="1" applyFill="1" applyBorder="1" applyAlignment="1">
      <alignment vertical="center"/>
      <protection/>
    </xf>
    <xf numFmtId="0" fontId="72" fillId="0" borderId="0" xfId="103" applyFont="1" applyFill="1" applyAlignment="1">
      <alignment horizontal="left" vertical="center" wrapText="1"/>
      <protection/>
    </xf>
    <xf numFmtId="0" fontId="73" fillId="0" borderId="0" xfId="103" applyFont="1" applyFill="1" applyAlignment="1">
      <alignment horizontal="center" vertical="center" wrapText="1"/>
      <protection/>
    </xf>
    <xf numFmtId="0" fontId="71" fillId="0" borderId="0" xfId="103" applyFont="1" applyFill="1" applyAlignment="1">
      <alignment horizontal="right" vertical="center" wrapText="1"/>
      <protection/>
    </xf>
    <xf numFmtId="0" fontId="74" fillId="0" borderId="0" xfId="103" applyFont="1" applyFill="1" applyAlignment="1">
      <alignment vertical="center" wrapText="1"/>
      <protection/>
    </xf>
    <xf numFmtId="0" fontId="74" fillId="0" borderId="0" xfId="103" applyFont="1" applyFill="1">
      <alignment/>
      <protection/>
    </xf>
    <xf numFmtId="49" fontId="0" fillId="0" borderId="0" xfId="103" applyNumberFormat="1" applyFont="1" applyFill="1" applyAlignment="1" applyProtection="1">
      <alignment horizontal="center"/>
      <protection/>
    </xf>
    <xf numFmtId="0" fontId="0" fillId="0" borderId="0" xfId="103" applyFont="1" applyFill="1" applyProtection="1">
      <alignment/>
      <protection/>
    </xf>
    <xf numFmtId="0" fontId="0" fillId="0" borderId="0" xfId="103" applyFont="1" applyFill="1" applyAlignment="1" applyProtection="1">
      <alignment horizontal="center"/>
      <protection/>
    </xf>
    <xf numFmtId="0" fontId="60" fillId="0" borderId="0" xfId="103" applyFont="1" applyFill="1" applyProtection="1">
      <alignment/>
      <protection/>
    </xf>
    <xf numFmtId="0" fontId="11" fillId="0" borderId="15" xfId="103" applyFont="1" applyFill="1" applyBorder="1" applyAlignment="1" applyProtection="1">
      <alignment horizontal="center" vertical="center" wrapText="1"/>
      <protection/>
    </xf>
    <xf numFmtId="0" fontId="11" fillId="0" borderId="33" xfId="103" applyFont="1" applyFill="1" applyBorder="1" applyAlignment="1" applyProtection="1">
      <alignment horizontal="center" vertical="center"/>
      <protection/>
    </xf>
    <xf numFmtId="0" fontId="11" fillId="0" borderId="5" xfId="103" applyFont="1" applyFill="1" applyBorder="1" applyAlignment="1" applyProtection="1">
      <alignment horizontal="center" vertical="center"/>
      <protection/>
    </xf>
    <xf numFmtId="0" fontId="11" fillId="0" borderId="30" xfId="103" applyFont="1" applyFill="1" applyBorder="1" applyAlignment="1" applyProtection="1">
      <alignment horizontal="center" vertical="center"/>
      <protection/>
    </xf>
    <xf numFmtId="0" fontId="11" fillId="0" borderId="33" xfId="136" applyFont="1" applyFill="1" applyBorder="1" applyAlignment="1">
      <alignment horizontal="center" vertical="center" wrapText="1"/>
      <protection/>
    </xf>
    <xf numFmtId="0" fontId="11" fillId="0" borderId="30" xfId="136" applyFont="1" applyFill="1" applyBorder="1" applyAlignment="1">
      <alignment horizontal="center" vertical="center" wrapText="1"/>
      <protection/>
    </xf>
    <xf numFmtId="0" fontId="11" fillId="0" borderId="15" xfId="103" applyFont="1" applyFill="1" applyBorder="1" applyAlignment="1" applyProtection="1">
      <alignment horizontal="center" vertical="center" wrapText="1"/>
      <protection/>
    </xf>
    <xf numFmtId="0" fontId="11" fillId="0" borderId="20" xfId="138" applyFont="1" applyFill="1" applyBorder="1" applyAlignment="1">
      <alignment horizontal="center" vertical="center" wrapText="1"/>
      <protection/>
    </xf>
    <xf numFmtId="49" fontId="11" fillId="0" borderId="22" xfId="103" applyNumberFormat="1" applyFont="1" applyFill="1" applyBorder="1" applyAlignment="1" applyProtection="1">
      <alignment horizontal="center" vertical="center" wrapText="1"/>
      <protection/>
    </xf>
    <xf numFmtId="0" fontId="11" fillId="0" borderId="22" xfId="103" applyFont="1" applyFill="1" applyBorder="1" applyAlignment="1" applyProtection="1">
      <alignment horizontal="left" vertical="center" wrapText="1"/>
      <protection/>
    </xf>
    <xf numFmtId="0" fontId="64" fillId="0" borderId="22" xfId="103" applyFont="1" applyFill="1" applyBorder="1" applyAlignment="1" applyProtection="1">
      <alignment horizontal="center" vertical="center" wrapText="1"/>
      <protection/>
    </xf>
    <xf numFmtId="0" fontId="12" fillId="0" borderId="22" xfId="103" applyFont="1" applyFill="1" applyBorder="1" applyAlignment="1" applyProtection="1">
      <alignment vertical="center" wrapText="1"/>
      <protection/>
    </xf>
    <xf numFmtId="49" fontId="11" fillId="0" borderId="13" xfId="103" applyNumberFormat="1" applyFont="1" applyFill="1" applyBorder="1" applyAlignment="1" applyProtection="1">
      <alignment horizontal="center" vertical="center" wrapText="1"/>
      <protection/>
    </xf>
    <xf numFmtId="0" fontId="11" fillId="0" borderId="13" xfId="103" applyFont="1" applyFill="1" applyBorder="1" applyAlignment="1" applyProtection="1">
      <alignment horizontal="left" vertical="center" wrapText="1"/>
      <protection/>
    </xf>
    <xf numFmtId="0" fontId="64" fillId="0" borderId="13" xfId="103" applyFont="1" applyFill="1" applyBorder="1" applyAlignment="1" applyProtection="1">
      <alignment horizontal="center" vertical="center" wrapText="1"/>
      <protection/>
    </xf>
    <xf numFmtId="49" fontId="58" fillId="0" borderId="13" xfId="103" applyNumberFormat="1" applyFont="1" applyFill="1" applyBorder="1" applyAlignment="1" applyProtection="1">
      <alignment horizontal="center" vertical="center" wrapText="1"/>
      <protection/>
    </xf>
    <xf numFmtId="0" fontId="58" fillId="0" borderId="13" xfId="103" applyFont="1" applyFill="1" applyBorder="1" applyAlignment="1" applyProtection="1">
      <alignment horizontal="left" vertical="center" wrapText="1"/>
      <protection/>
    </xf>
    <xf numFmtId="0" fontId="4" fillId="0" borderId="0" xfId="103" applyFont="1" applyFill="1">
      <alignment/>
      <protection/>
    </xf>
    <xf numFmtId="49" fontId="11" fillId="0" borderId="13" xfId="103" applyNumberFormat="1" applyFont="1" applyFill="1" applyBorder="1" applyAlignment="1" applyProtection="1">
      <alignment horizontal="center" vertical="center" wrapText="1"/>
      <protection/>
    </xf>
    <xf numFmtId="0" fontId="11" fillId="0" borderId="13" xfId="103" applyFont="1" applyFill="1" applyBorder="1" applyAlignment="1" applyProtection="1">
      <alignment horizontal="left" vertical="center" wrapText="1"/>
      <protection/>
    </xf>
    <xf numFmtId="0" fontId="64" fillId="0" borderId="13" xfId="103" applyFont="1" applyFill="1" applyBorder="1" applyAlignment="1" applyProtection="1">
      <alignment horizontal="center" vertical="center" wrapText="1"/>
      <protection/>
    </xf>
    <xf numFmtId="0" fontId="5" fillId="0" borderId="0" xfId="103" applyFont="1" applyFill="1">
      <alignment/>
      <protection/>
    </xf>
    <xf numFmtId="2" fontId="12" fillId="0" borderId="13" xfId="103" applyNumberFormat="1" applyFont="1" applyFill="1" applyBorder="1" applyAlignment="1" applyProtection="1">
      <alignment vertical="center" wrapText="1"/>
      <protection/>
    </xf>
    <xf numFmtId="4" fontId="11" fillId="0" borderId="13" xfId="103" applyNumberFormat="1" applyFont="1" applyFill="1" applyBorder="1" applyAlignment="1" applyProtection="1">
      <alignment vertical="center" wrapText="1"/>
      <protection/>
    </xf>
    <xf numFmtId="1" fontId="11" fillId="0" borderId="13" xfId="103" applyNumberFormat="1" applyFont="1" applyFill="1" applyBorder="1" applyAlignment="1" applyProtection="1">
      <alignment vertical="center" wrapText="1"/>
      <protection/>
    </xf>
    <xf numFmtId="169" fontId="12" fillId="0" borderId="13" xfId="103" applyNumberFormat="1" applyFont="1" applyFill="1" applyBorder="1" applyAlignment="1" applyProtection="1">
      <alignment vertical="center" wrapText="1"/>
      <protection/>
    </xf>
    <xf numFmtId="0" fontId="58" fillId="0" borderId="13" xfId="103" applyFont="1" applyFill="1" applyBorder="1" applyAlignment="1" applyProtection="1">
      <alignment vertical="center" wrapText="1"/>
      <protection/>
    </xf>
    <xf numFmtId="9" fontId="12" fillId="0" borderId="13" xfId="103" applyNumberFormat="1" applyFont="1" applyFill="1" applyBorder="1" applyAlignment="1" applyProtection="1">
      <alignment horizontal="left" vertical="center" wrapText="1"/>
      <protection/>
    </xf>
    <xf numFmtId="182" fontId="12" fillId="0" borderId="13" xfId="103" applyNumberFormat="1" applyFont="1" applyFill="1" applyBorder="1" applyAlignment="1" applyProtection="1">
      <alignment vertical="center" wrapText="1"/>
      <protection/>
    </xf>
    <xf numFmtId="49" fontId="11" fillId="0" borderId="13" xfId="103" applyNumberFormat="1" applyFont="1" applyFill="1" applyBorder="1" applyAlignment="1" applyProtection="1">
      <alignment horizontal="left" vertical="center" wrapText="1"/>
      <protection/>
    </xf>
    <xf numFmtId="1" fontId="150" fillId="0" borderId="13" xfId="103" applyNumberFormat="1" applyFont="1" applyFill="1" applyBorder="1" applyAlignment="1" applyProtection="1">
      <alignment vertical="center" wrapText="1"/>
      <protection/>
    </xf>
    <xf numFmtId="49" fontId="58" fillId="0" borderId="23" xfId="103" applyNumberFormat="1" applyFont="1" applyFill="1" applyBorder="1" applyAlignment="1" applyProtection="1">
      <alignment horizontal="center" vertical="center" wrapText="1"/>
      <protection/>
    </xf>
    <xf numFmtId="0" fontId="58" fillId="0" borderId="23" xfId="103" applyFont="1" applyFill="1" applyBorder="1" applyAlignment="1" applyProtection="1">
      <alignment horizontal="left" vertical="center" wrapText="1"/>
      <protection/>
    </xf>
    <xf numFmtId="0" fontId="65" fillId="0" borderId="23" xfId="103" applyFont="1" applyFill="1" applyBorder="1" applyAlignment="1" applyProtection="1">
      <alignment horizontal="center" vertical="center" wrapText="1"/>
      <protection/>
    </xf>
    <xf numFmtId="3" fontId="150" fillId="0" borderId="13" xfId="103" applyNumberFormat="1" applyFont="1" applyFill="1" applyBorder="1" applyAlignment="1" applyProtection="1">
      <alignment vertical="center" wrapText="1"/>
      <protection/>
    </xf>
    <xf numFmtId="0" fontId="0" fillId="0" borderId="0" xfId="103" applyFont="1" applyFill="1" applyBorder="1">
      <alignment/>
      <protection/>
    </xf>
    <xf numFmtId="49" fontId="58" fillId="0" borderId="18" xfId="103" applyNumberFormat="1" applyFont="1" applyFill="1" applyBorder="1" applyAlignment="1" applyProtection="1">
      <alignment horizontal="center" vertical="center" wrapText="1"/>
      <protection/>
    </xf>
    <xf numFmtId="0" fontId="58" fillId="0" borderId="18" xfId="103" applyFont="1" applyFill="1" applyBorder="1" applyAlignment="1" applyProtection="1">
      <alignment horizontal="left" vertical="center" wrapText="1"/>
      <protection/>
    </xf>
    <xf numFmtId="0" fontId="65" fillId="0" borderId="18" xfId="103" applyFont="1" applyFill="1" applyBorder="1" applyAlignment="1" applyProtection="1">
      <alignment horizontal="center" vertical="center" wrapText="1"/>
      <protection/>
    </xf>
    <xf numFmtId="1" fontId="58" fillId="0" borderId="18" xfId="103" applyNumberFormat="1" applyFont="1" applyFill="1" applyBorder="1" applyAlignment="1" applyProtection="1">
      <alignment vertical="center" wrapText="1"/>
      <protection/>
    </xf>
    <xf numFmtId="49" fontId="73" fillId="0" borderId="0" xfId="103" applyNumberFormat="1" applyFont="1" applyFill="1" applyBorder="1" applyProtection="1">
      <alignment/>
      <protection/>
    </xf>
    <xf numFmtId="0" fontId="73" fillId="0" borderId="0" xfId="103" applyFont="1" applyFill="1" applyBorder="1" applyProtection="1">
      <alignment/>
      <protection/>
    </xf>
    <xf numFmtId="0" fontId="75" fillId="0" borderId="0" xfId="103" applyFont="1" applyFill="1" applyBorder="1" applyProtection="1">
      <alignment/>
      <protection/>
    </xf>
    <xf numFmtId="169" fontId="73" fillId="0" borderId="0" xfId="103" applyNumberFormat="1" applyFont="1" applyFill="1" applyBorder="1" applyProtection="1">
      <alignment/>
      <protection/>
    </xf>
  </cellXfs>
  <cellStyles count="164">
    <cellStyle name="Normal" xfId="0"/>
    <cellStyle name="&#13;&#10;JournalTemplate=C:\COMFO\CTALK\JOURSTD.TPL&#13;&#10;LbStateAddress=3 3 0 251 1 89 2 311&#13;&#10;LbStateJou" xfId="15"/>
    <cellStyle name="&#13;&#10;JournalTemplate=C:\COMFO\CTALK\JOURSTD.TPL&#13;&#10;LbStateAddress=3 3 0 251 1 89 2 311&#13;&#10;LbStateJou_SKHPTSNYT-2011" xfId="16"/>
    <cellStyle name="20% - Accent1" xfId="17"/>
    <cellStyle name="20% - Accent2" xfId="18"/>
    <cellStyle name="20% - Accent3" xfId="19"/>
    <cellStyle name="20% - Accent4" xfId="20"/>
    <cellStyle name="20% - Accent5" xfId="21"/>
    <cellStyle name="20% - Accent6" xfId="22"/>
    <cellStyle name="40% - Accent1" xfId="23"/>
    <cellStyle name="40% - Accent2" xfId="24"/>
    <cellStyle name="40% - Accent3" xfId="25"/>
    <cellStyle name="40% - Accent4" xfId="26"/>
    <cellStyle name="40% - Accent5" xfId="27"/>
    <cellStyle name="40% - Accent6" xfId="28"/>
    <cellStyle name="52" xfId="29"/>
    <cellStyle name="60% - Accent1" xfId="30"/>
    <cellStyle name="60% - Accent2" xfId="31"/>
    <cellStyle name="60% - Accent3" xfId="32"/>
    <cellStyle name="60% - Accent4" xfId="33"/>
    <cellStyle name="60% - Accent5" xfId="34"/>
    <cellStyle name="60% - Accent6" xfId="35"/>
    <cellStyle name="Accent1" xfId="36"/>
    <cellStyle name="Accent2" xfId="37"/>
    <cellStyle name="Accent3" xfId="38"/>
    <cellStyle name="Accent4" xfId="39"/>
    <cellStyle name="Accent5" xfId="40"/>
    <cellStyle name="Accent6" xfId="41"/>
    <cellStyle name="AeE­ [0]_INQUIRY ¿μ¾÷AßAø " xfId="42"/>
    <cellStyle name="AeE­_INQUIRY ¿μ¾÷AßAø " xfId="43"/>
    <cellStyle name="AÞ¸¶ [0]_INQUIRY ¿?¾÷AßAø " xfId="44"/>
    <cellStyle name="AÞ¸¶_INQUIRY ¿?¾÷AßAø " xfId="45"/>
    <cellStyle name="Bad" xfId="46"/>
    <cellStyle name="C?AØ_¿?¾÷CoE² " xfId="47"/>
    <cellStyle name="C￥AØ_¿μ¾÷CoE² " xfId="48"/>
    <cellStyle name="Calculation" xfId="49"/>
    <cellStyle name="Comma" xfId="50"/>
    <cellStyle name="Comma [0]" xfId="51"/>
    <cellStyle name="Comma 10" xfId="52"/>
    <cellStyle name="Comma 10 3" xfId="53"/>
    <cellStyle name="Comma 10 3 2" xfId="54"/>
    <cellStyle name="Comma 11_88482_93673" xfId="55"/>
    <cellStyle name="Comma 15" xfId="56"/>
    <cellStyle name="Comma 15 2" xfId="57"/>
    <cellStyle name="Comma 2" xfId="58"/>
    <cellStyle name="Comma 2 2" xfId="59"/>
    <cellStyle name="Comma 2 3 3 2" xfId="60"/>
    <cellStyle name="Comma 3" xfId="61"/>
    <cellStyle name="Comma 3 2" xfId="62"/>
    <cellStyle name="Comma 32" xfId="63"/>
    <cellStyle name="Comma 32 2" xfId="64"/>
    <cellStyle name="Comma 32 3" xfId="65"/>
    <cellStyle name="Comma 4" xfId="66"/>
    <cellStyle name="Comma 5" xfId="67"/>
    <cellStyle name="Comma 6" xfId="68"/>
    <cellStyle name="Comma 6 2 3 2" xfId="69"/>
    <cellStyle name="Comma 6 2 3 2 2" xfId="70"/>
    <cellStyle name="Comma 6 2_88345_93552" xfId="71"/>
    <cellStyle name="Comma 6 2_88345_93552 2" xfId="72"/>
    <cellStyle name="Comma 7" xfId="73"/>
    <cellStyle name="Comma 9" xfId="74"/>
    <cellStyle name="Comma0" xfId="75"/>
    <cellStyle name="Currency" xfId="76"/>
    <cellStyle name="Currency [0]" xfId="77"/>
    <cellStyle name="Currency0" xfId="78"/>
    <cellStyle name="Check Cell" xfId="79"/>
    <cellStyle name="Date" xfId="80"/>
    <cellStyle name="Dấu phẩy 2" xfId="81"/>
    <cellStyle name="Dấu phẩy 2 2 3" xfId="82"/>
    <cellStyle name="Dấu phẩy 2 3" xfId="83"/>
    <cellStyle name="Explanatory Text" xfId="84"/>
    <cellStyle name="Fixed" xfId="85"/>
    <cellStyle name="Good" xfId="86"/>
    <cellStyle name="Header1" xfId="87"/>
    <cellStyle name="Header2" xfId="88"/>
    <cellStyle name="Heading 1" xfId="89"/>
    <cellStyle name="Heading 2" xfId="90"/>
    <cellStyle name="Heading 3" xfId="91"/>
    <cellStyle name="Heading 4" xfId="92"/>
    <cellStyle name="Input" xfId="93"/>
    <cellStyle name="Linked Cell" xfId="94"/>
    <cellStyle name="Loai CBDT" xfId="95"/>
    <cellStyle name="Loai CT" xfId="96"/>
    <cellStyle name="Loai GD" xfId="97"/>
    <cellStyle name="n" xfId="98"/>
    <cellStyle name="Neutral" xfId="99"/>
    <cellStyle name="Normal - Style1" xfId="100"/>
    <cellStyle name="Normal 10" xfId="101"/>
    <cellStyle name="Normal 11" xfId="102"/>
    <cellStyle name="Normal 11 3 3" xfId="103"/>
    <cellStyle name="Normal 12" xfId="104"/>
    <cellStyle name="Normal 13" xfId="105"/>
    <cellStyle name="Normal 14" xfId="106"/>
    <cellStyle name="Normal 15" xfId="107"/>
    <cellStyle name="Normal 16" xfId="108"/>
    <cellStyle name="Normal 17" xfId="109"/>
    <cellStyle name="Normal 18" xfId="110"/>
    <cellStyle name="Normal 19" xfId="111"/>
    <cellStyle name="Normal 2" xfId="112"/>
    <cellStyle name="Normal 2 2" xfId="113"/>
    <cellStyle name="Normal 2 2 2" xfId="114"/>
    <cellStyle name="Normal 2 2 2 2" xfId="115"/>
    <cellStyle name="Normal 2 2 3" xfId="116"/>
    <cellStyle name="Normal 2 3" xfId="117"/>
    <cellStyle name="Normal 21" xfId="118"/>
    <cellStyle name="Normal 28 2" xfId="119"/>
    <cellStyle name="Normal 3" xfId="120"/>
    <cellStyle name="Normal 34" xfId="121"/>
    <cellStyle name="Normal 35" xfId="122"/>
    <cellStyle name="Normal 4" xfId="123"/>
    <cellStyle name="Normal 5" xfId="124"/>
    <cellStyle name="Normal 5 2" xfId="125"/>
    <cellStyle name="Normal 5 2 2" xfId="126"/>
    <cellStyle name="Normal 5 2 3" xfId="127"/>
    <cellStyle name="Normal 6" xfId="128"/>
    <cellStyle name="Normal 7" xfId="129"/>
    <cellStyle name="Normal 8" xfId="130"/>
    <cellStyle name="Normal 9" xfId="131"/>
    <cellStyle name="Normal_BC va kehoach2010-2015 danso bancuoi" xfId="132"/>
    <cellStyle name="Normal_Bieu mau (CV )" xfId="133"/>
    <cellStyle name="Normal_Bieu So KH 11.11.2008 2" xfId="134"/>
    <cellStyle name="Normal_Bieu So KH 11.11.2008_Bieu so lieu KH 2010 ((1493))" xfId="135"/>
    <cellStyle name="Normal_Chi tieu nam 2009 moi" xfId="136"/>
    <cellStyle name="Normal_Chi tieu nam 2009 moi 2 2" xfId="137"/>
    <cellStyle name="Normal_Chi tieu PTSNYT và hoat dong tinh 2009" xfId="138"/>
    <cellStyle name="Normal_Sheet1" xfId="139"/>
    <cellStyle name="Normal_Uoc thuc hien KH 2014 - Vu KTCN lam" xfId="140"/>
    <cellStyle name="Normal_Vu Quan ly QH_BieuBaocaoQuyhoach2011" xfId="141"/>
    <cellStyle name="Note" xfId="142"/>
    <cellStyle name="Output" xfId="143"/>
    <cellStyle name="Percent" xfId="144"/>
    <cellStyle name="Percent 18" xfId="145"/>
    <cellStyle name="Percent 2" xfId="146"/>
    <cellStyle name="Percent 2 2" xfId="147"/>
    <cellStyle name="Percent 2 6" xfId="148"/>
    <cellStyle name="Percent 5 3 2" xfId="149"/>
    <cellStyle name="Phần trăm 2" xfId="150"/>
    <cellStyle name="Phần trăm 2 2" xfId="151"/>
    <cellStyle name="Title" xfId="152"/>
    <cellStyle name="Tong so" xfId="153"/>
    <cellStyle name="tong so 1" xfId="154"/>
    <cellStyle name="Total" xfId="155"/>
    <cellStyle name="Warning Text" xfId="156"/>
    <cellStyle name="xuan" xfId="157"/>
    <cellStyle name=" [0.00]_ Att. 1- Cover" xfId="158"/>
    <cellStyle name="_ Att. 1- Cover" xfId="159"/>
    <cellStyle name="?_ Att. 1- Cover" xfId="160"/>
    <cellStyle name="똿뗦먛귟 [0.00]_PRODUCT DETAIL Q1" xfId="161"/>
    <cellStyle name="똿뗦먛귟_PRODUCT DETAIL Q1" xfId="162"/>
    <cellStyle name="믅됞 [0.00]_PRODUCT DETAIL Q1" xfId="163"/>
    <cellStyle name="믅됞_PRODUCT DETAIL Q1" xfId="164"/>
    <cellStyle name="백분율_95" xfId="165"/>
    <cellStyle name="뷭?_BOOKSHIP" xfId="166"/>
    <cellStyle name="콤마 [0]_1202" xfId="167"/>
    <cellStyle name="콤마_1202" xfId="168"/>
    <cellStyle name="통화 [0]_1202" xfId="169"/>
    <cellStyle name="통화_1202" xfId="170"/>
    <cellStyle name="표준_(정보부문)월별인원계획" xfId="171"/>
    <cellStyle name="一般_00Q3902REV.1" xfId="172"/>
    <cellStyle name="千分位[0]_00Q3902REV.1" xfId="173"/>
    <cellStyle name="千分位_00Q3902REV.1" xfId="174"/>
    <cellStyle name="貨幣 [0]_00Q3902REV.1" xfId="175"/>
    <cellStyle name="貨幣[0]_BRE" xfId="176"/>
    <cellStyle name="貨幣_00Q3902REV.1" xfId="177"/>
  </cellStyles>
  <tableStyles count="0" defaultTableStyle="TableStyleMedium9" defaultPivotStyl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externalLink" Target="externalLinks/externalLink1.xml" /><Relationship Id="rId23" Type="http://schemas.openxmlformats.org/officeDocument/2006/relationships/externalLink" Target="externalLinks/externalLink2.xml" /><Relationship Id="rId24" Type="http://schemas.openxmlformats.org/officeDocument/2006/relationships/externalLink" Target="externalLinks/externalLink3.xml" /><Relationship Id="rId25" Type="http://schemas.openxmlformats.org/officeDocument/2006/relationships/externalLink" Target="externalLinks/externalLink4.xml" /><Relationship Id="rId26" Type="http://schemas.openxmlformats.org/officeDocument/2006/relationships/externalLink" Target="externalLinks/externalLink5.xml" /><Relationship Id="rId2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28575</xdr:colOff>
      <xdr:row>85</xdr:row>
      <xdr:rowOff>0</xdr:rowOff>
    </xdr:from>
    <xdr:to>
      <xdr:col>18</xdr:col>
      <xdr:colOff>438150</xdr:colOff>
      <xdr:row>85</xdr:row>
      <xdr:rowOff>0</xdr:rowOff>
    </xdr:to>
    <xdr:sp>
      <xdr:nvSpPr>
        <xdr:cNvPr id="1" name="Line 1"/>
        <xdr:cNvSpPr>
          <a:spLocks/>
        </xdr:cNvSpPr>
      </xdr:nvSpPr>
      <xdr:spPr>
        <a:xfrm flipV="1">
          <a:off x="11696700" y="18630900"/>
          <a:ext cx="4095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9525</xdr:colOff>
      <xdr:row>85</xdr:row>
      <xdr:rowOff>0</xdr:rowOff>
    </xdr:from>
    <xdr:to>
      <xdr:col>19</xdr:col>
      <xdr:colOff>466725</xdr:colOff>
      <xdr:row>85</xdr:row>
      <xdr:rowOff>0</xdr:rowOff>
    </xdr:to>
    <xdr:sp>
      <xdr:nvSpPr>
        <xdr:cNvPr id="2" name="Line 2"/>
        <xdr:cNvSpPr>
          <a:spLocks/>
        </xdr:cNvSpPr>
      </xdr:nvSpPr>
      <xdr:spPr>
        <a:xfrm flipV="1">
          <a:off x="12315825" y="18630900"/>
          <a:ext cx="457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20</xdr:col>
      <xdr:colOff>0</xdr:colOff>
      <xdr:row>86</xdr:row>
      <xdr:rowOff>190500</xdr:rowOff>
    </xdr:from>
    <xdr:to>
      <xdr:col>20</xdr:col>
      <xdr:colOff>0</xdr:colOff>
      <xdr:row>87</xdr:row>
      <xdr:rowOff>200025</xdr:rowOff>
    </xdr:to>
    <xdr:sp>
      <xdr:nvSpPr>
        <xdr:cNvPr id="3" name="Line 5"/>
        <xdr:cNvSpPr>
          <a:spLocks/>
        </xdr:cNvSpPr>
      </xdr:nvSpPr>
      <xdr:spPr>
        <a:xfrm flipH="1">
          <a:off x="13011150" y="19021425"/>
          <a:ext cx="0" cy="2095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18</xdr:col>
      <xdr:colOff>28575</xdr:colOff>
      <xdr:row>85</xdr:row>
      <xdr:rowOff>0</xdr:rowOff>
    </xdr:from>
    <xdr:to>
      <xdr:col>18</xdr:col>
      <xdr:colOff>438150</xdr:colOff>
      <xdr:row>85</xdr:row>
      <xdr:rowOff>0</xdr:rowOff>
    </xdr:to>
    <xdr:sp>
      <xdr:nvSpPr>
        <xdr:cNvPr id="4" name="Line 1"/>
        <xdr:cNvSpPr>
          <a:spLocks/>
        </xdr:cNvSpPr>
      </xdr:nvSpPr>
      <xdr:spPr>
        <a:xfrm flipV="1">
          <a:off x="11696700" y="18630900"/>
          <a:ext cx="4095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9525</xdr:colOff>
      <xdr:row>85</xdr:row>
      <xdr:rowOff>0</xdr:rowOff>
    </xdr:from>
    <xdr:to>
      <xdr:col>19</xdr:col>
      <xdr:colOff>466725</xdr:colOff>
      <xdr:row>85</xdr:row>
      <xdr:rowOff>0</xdr:rowOff>
    </xdr:to>
    <xdr:sp>
      <xdr:nvSpPr>
        <xdr:cNvPr id="5" name="Line 2"/>
        <xdr:cNvSpPr>
          <a:spLocks/>
        </xdr:cNvSpPr>
      </xdr:nvSpPr>
      <xdr:spPr>
        <a:xfrm flipV="1">
          <a:off x="12315825" y="18630900"/>
          <a:ext cx="457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152400</xdr:colOff>
      <xdr:row>6</xdr:row>
      <xdr:rowOff>219075</xdr:rowOff>
    </xdr:from>
    <xdr:to>
      <xdr:col>17</xdr:col>
      <xdr:colOff>561975</xdr:colOff>
      <xdr:row>6</xdr:row>
      <xdr:rowOff>219075</xdr:rowOff>
    </xdr:to>
    <xdr:sp>
      <xdr:nvSpPr>
        <xdr:cNvPr id="6" name="Line 1"/>
        <xdr:cNvSpPr>
          <a:spLocks/>
        </xdr:cNvSpPr>
      </xdr:nvSpPr>
      <xdr:spPr>
        <a:xfrm flipV="1">
          <a:off x="11191875" y="1743075"/>
          <a:ext cx="4095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18</xdr:col>
      <xdr:colOff>9525</xdr:colOff>
      <xdr:row>7</xdr:row>
      <xdr:rowOff>0</xdr:rowOff>
    </xdr:from>
    <xdr:to>
      <xdr:col>18</xdr:col>
      <xdr:colOff>466725</xdr:colOff>
      <xdr:row>7</xdr:row>
      <xdr:rowOff>0</xdr:rowOff>
    </xdr:to>
    <xdr:sp>
      <xdr:nvSpPr>
        <xdr:cNvPr id="7" name="Line 2"/>
        <xdr:cNvSpPr>
          <a:spLocks/>
        </xdr:cNvSpPr>
      </xdr:nvSpPr>
      <xdr:spPr>
        <a:xfrm flipV="1">
          <a:off x="11677650" y="1743075"/>
          <a:ext cx="457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0</xdr:colOff>
      <xdr:row>8</xdr:row>
      <xdr:rowOff>152400</xdr:rowOff>
    </xdr:from>
    <xdr:to>
      <xdr:col>19</xdr:col>
      <xdr:colOff>0</xdr:colOff>
      <xdr:row>9</xdr:row>
      <xdr:rowOff>180975</xdr:rowOff>
    </xdr:to>
    <xdr:sp>
      <xdr:nvSpPr>
        <xdr:cNvPr id="8" name="Line 5"/>
        <xdr:cNvSpPr>
          <a:spLocks/>
        </xdr:cNvSpPr>
      </xdr:nvSpPr>
      <xdr:spPr>
        <a:xfrm flipH="1">
          <a:off x="12306300" y="2114550"/>
          <a:ext cx="0" cy="3810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9525</xdr:colOff>
      <xdr:row>4</xdr:row>
      <xdr:rowOff>0</xdr:rowOff>
    </xdr:from>
    <xdr:to>
      <xdr:col>18</xdr:col>
      <xdr:colOff>495300</xdr:colOff>
      <xdr:row>6</xdr:row>
      <xdr:rowOff>9525</xdr:rowOff>
    </xdr:to>
    <xdr:sp>
      <xdr:nvSpPr>
        <xdr:cNvPr id="1" name="Line 2"/>
        <xdr:cNvSpPr>
          <a:spLocks/>
        </xdr:cNvSpPr>
      </xdr:nvSpPr>
      <xdr:spPr>
        <a:xfrm flipH="1">
          <a:off x="12134850" y="1038225"/>
          <a:ext cx="485775" cy="447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0</xdr:colOff>
      <xdr:row>4</xdr:row>
      <xdr:rowOff>28575</xdr:rowOff>
    </xdr:from>
    <xdr:to>
      <xdr:col>17</xdr:col>
      <xdr:colOff>495300</xdr:colOff>
      <xdr:row>5</xdr:row>
      <xdr:rowOff>238125</xdr:rowOff>
    </xdr:to>
    <xdr:sp>
      <xdr:nvSpPr>
        <xdr:cNvPr id="2" name="Line 5"/>
        <xdr:cNvSpPr>
          <a:spLocks/>
        </xdr:cNvSpPr>
      </xdr:nvSpPr>
      <xdr:spPr>
        <a:xfrm flipH="1">
          <a:off x="11610975" y="1066800"/>
          <a:ext cx="495300" cy="4095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18</xdr:col>
      <xdr:colOff>9525</xdr:colOff>
      <xdr:row>4</xdr:row>
      <xdr:rowOff>0</xdr:rowOff>
    </xdr:from>
    <xdr:to>
      <xdr:col>18</xdr:col>
      <xdr:colOff>495300</xdr:colOff>
      <xdr:row>6</xdr:row>
      <xdr:rowOff>9525</xdr:rowOff>
    </xdr:to>
    <xdr:sp>
      <xdr:nvSpPr>
        <xdr:cNvPr id="3" name="Line 2"/>
        <xdr:cNvSpPr>
          <a:spLocks/>
        </xdr:cNvSpPr>
      </xdr:nvSpPr>
      <xdr:spPr>
        <a:xfrm flipH="1">
          <a:off x="12134850" y="1038225"/>
          <a:ext cx="485775" cy="447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0</xdr:colOff>
      <xdr:row>4</xdr:row>
      <xdr:rowOff>28575</xdr:rowOff>
    </xdr:from>
    <xdr:to>
      <xdr:col>17</xdr:col>
      <xdr:colOff>495300</xdr:colOff>
      <xdr:row>5</xdr:row>
      <xdr:rowOff>238125</xdr:rowOff>
    </xdr:to>
    <xdr:sp>
      <xdr:nvSpPr>
        <xdr:cNvPr id="4" name="Line 5"/>
        <xdr:cNvSpPr>
          <a:spLocks/>
        </xdr:cNvSpPr>
      </xdr:nvSpPr>
      <xdr:spPr>
        <a:xfrm flipH="1">
          <a:off x="11610975" y="1066800"/>
          <a:ext cx="495300" cy="4095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66675</xdr:colOff>
      <xdr:row>5</xdr:row>
      <xdr:rowOff>190500</xdr:rowOff>
    </xdr:from>
    <xdr:to>
      <xdr:col>16</xdr:col>
      <xdr:colOff>409575</xdr:colOff>
      <xdr:row>5</xdr:row>
      <xdr:rowOff>381000</xdr:rowOff>
    </xdr:to>
    <xdr:sp>
      <xdr:nvSpPr>
        <xdr:cNvPr id="1" name="Straight Connector 2"/>
        <xdr:cNvSpPr>
          <a:spLocks/>
        </xdr:cNvSpPr>
      </xdr:nvSpPr>
      <xdr:spPr>
        <a:xfrm rot="10800000" flipV="1">
          <a:off x="9153525" y="1266825"/>
          <a:ext cx="342900" cy="1905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17</xdr:col>
      <xdr:colOff>57150</xdr:colOff>
      <xdr:row>5</xdr:row>
      <xdr:rowOff>190500</xdr:rowOff>
    </xdr:from>
    <xdr:to>
      <xdr:col>17</xdr:col>
      <xdr:colOff>400050</xdr:colOff>
      <xdr:row>5</xdr:row>
      <xdr:rowOff>400050</xdr:rowOff>
    </xdr:to>
    <xdr:sp>
      <xdr:nvSpPr>
        <xdr:cNvPr id="2" name="Straight Connector 2"/>
        <xdr:cNvSpPr>
          <a:spLocks/>
        </xdr:cNvSpPr>
      </xdr:nvSpPr>
      <xdr:spPr>
        <a:xfrm rot="10800000" flipV="1">
          <a:off x="9563100" y="1266825"/>
          <a:ext cx="342900" cy="2095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NAMTM\AppData\Local\Microsoft\Windows\INetCache\IE\9KRXHJH2\TH%20cac%20phong%20sua%20sau%20hop%20UB\PNN.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User\AppData\Local\Microsoft\Windows\INetCache\IE\0P939HIG\128263_131420.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Downloads\KH%202018,%20Kh%202019%20sau%20ra%20soat%20lan%202.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Users\User\AppData\Local\Microsoft\Windows\INetCache\IE\WO6UC8GC\KH%20cac%20nganh%20gui\KQ_Ra%20soat_Chi%20tieu%20giao%20duc%202019.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Users\MyPC\Downloads\T11.2018%20Bieu%20CTTH2019%20(ngay%2020.11.2018)%2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 Chi tieu KT"/>
      <sheetName val="2. CN NN DV"/>
      <sheetName val="2.1 - NN "/>
      <sheetName val="2.2 - CN DV"/>
      <sheetName val="3. XH"/>
      <sheetName val="3.1.SNLDVL"/>
      <sheetName val="3.2.SN daotao"/>
      <sheetName val="3.3.SNGDDT"/>
      <sheetName val="3.4.SNYte"/>
      <sheetName val="3.5.SNVHTTDL"/>
      <sheetName val="4. MT"/>
      <sheetName val="5. PTDN"/>
      <sheetName val="6. FDI"/>
      <sheetName val="7.Cac du an Quy hoach"/>
      <sheetName val="8. CNTT"/>
      <sheetName val="9. Nhom A DP"/>
      <sheetName val="10.TPCP-DP"/>
      <sheetName val="11. TƯV"/>
      <sheetName val="12.No XDCB"/>
    </sheetNames>
    <sheetDataSet>
      <sheetData sheetId="2">
        <row r="11">
          <cell r="D11">
            <v>178116</v>
          </cell>
          <cell r="F11">
            <v>185349.35</v>
          </cell>
        </row>
        <row r="28">
          <cell r="F28">
            <v>26.625231602411517</v>
          </cell>
          <cell r="G28">
            <v>26.939219099320045</v>
          </cell>
        </row>
        <row r="29">
          <cell r="F29">
            <v>79251.2</v>
          </cell>
          <cell r="G29">
            <v>79131.343</v>
          </cell>
        </row>
        <row r="44">
          <cell r="F44">
            <v>75.6</v>
          </cell>
        </row>
        <row r="48">
          <cell r="F48">
            <v>3312.94</v>
          </cell>
        </row>
        <row r="53">
          <cell r="F53">
            <v>999.5899999999999</v>
          </cell>
        </row>
        <row r="62">
          <cell r="F62">
            <v>2817.79</v>
          </cell>
          <cell r="G62">
            <v>3022.9935000000005</v>
          </cell>
        </row>
        <row r="63">
          <cell r="F63">
            <v>251.5</v>
          </cell>
          <cell r="G63">
            <v>258.45500000000004</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1. Chi tieu KT"/>
      <sheetName val="2. CN NN DV"/>
      <sheetName val="2.1 - NN "/>
      <sheetName val="2.2 - CN DV"/>
      <sheetName val="3. XH"/>
      <sheetName val="3.1.SNLDVL"/>
      <sheetName val="3.2.SN daotao"/>
      <sheetName val="3.3.SNGDDT"/>
      <sheetName val="3.4.SNYte"/>
      <sheetName val="3.5.SNVHTTDL"/>
      <sheetName val="4. MT"/>
      <sheetName val="5. PTDN"/>
      <sheetName val="6. FDI"/>
      <sheetName val="7.Cac du an Quy hoach"/>
      <sheetName val="8. CNTT"/>
      <sheetName val="9. Nhom A DP"/>
      <sheetName val="10.TPCP-DP"/>
      <sheetName val="11. TƯV"/>
      <sheetName val="12.No XDCB"/>
    </sheetNames>
    <sheetDataSet>
      <sheetData sheetId="2">
        <row r="45">
          <cell r="G45">
            <v>90</v>
          </cell>
        </row>
        <row r="49">
          <cell r="G49">
            <v>6921.900000000001</v>
          </cell>
        </row>
        <row r="54">
          <cell r="G54">
            <v>1858.8290000000002</v>
          </cell>
        </row>
        <row r="66">
          <cell r="D66">
            <v>1009.43</v>
          </cell>
          <cell r="E66">
            <v>3052.83</v>
          </cell>
          <cell r="G66">
            <v>1016.4000000000001</v>
          </cell>
        </row>
        <row r="72">
          <cell r="F72">
            <v>39.74</v>
          </cell>
          <cell r="G72">
            <v>40.31</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2017-Kl"/>
      <sheetName val="2017-von"/>
      <sheetName val="Biểu 01"/>
      <sheetName val="Bieu 2"/>
      <sheetName val="Bieu 3"/>
      <sheetName val="Sheet1"/>
      <sheetName val="2019-KL"/>
      <sheetName val="2019-Von"/>
      <sheetName val="2020-KL"/>
      <sheetName val="2020-Von"/>
      <sheetName val="TH 2016-2020"/>
      <sheetName val="KNTS"/>
      <sheetName val="Trung han 2016-2020"/>
    </sheetNames>
    <sheetDataSet>
      <sheetData sheetId="2">
        <row r="14">
          <cell r="F14">
            <v>9329.57</v>
          </cell>
        </row>
        <row r="15">
          <cell r="F15">
            <v>59.17433493719433</v>
          </cell>
        </row>
        <row r="16">
          <cell r="F16">
            <v>55207.11000000001</v>
          </cell>
        </row>
        <row r="18">
          <cell r="F18">
            <v>18726.7</v>
          </cell>
        </row>
        <row r="19">
          <cell r="F19">
            <v>51.13890861710819</v>
          </cell>
        </row>
        <row r="20">
          <cell r="F20">
            <v>95766.3</v>
          </cell>
        </row>
        <row r="22">
          <cell r="F22">
            <v>23247.079999999998</v>
          </cell>
        </row>
        <row r="23">
          <cell r="F23">
            <v>14.787207683717696</v>
          </cell>
        </row>
        <row r="24">
          <cell r="F24">
            <v>34375.939999999995</v>
          </cell>
        </row>
        <row r="26">
          <cell r="F26">
            <v>29765.450000000004</v>
          </cell>
        </row>
        <row r="27">
          <cell r="F27">
            <v>26.625231602411517</v>
          </cell>
        </row>
        <row r="28">
          <cell r="F28">
            <v>79251.2</v>
          </cell>
        </row>
        <row r="41">
          <cell r="F41">
            <v>596.89</v>
          </cell>
        </row>
        <row r="42">
          <cell r="F42">
            <v>2</v>
          </cell>
        </row>
        <row r="43">
          <cell r="F43">
            <v>75.6</v>
          </cell>
        </row>
        <row r="45">
          <cell r="F45">
            <v>3994.22</v>
          </cell>
        </row>
        <row r="46">
          <cell r="F46">
            <v>75.6</v>
          </cell>
        </row>
        <row r="47">
          <cell r="F47">
            <v>3312.94</v>
          </cell>
        </row>
        <row r="49">
          <cell r="F49">
            <v>5126.62</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mam non"/>
      <sheetName val="tieu hoc"/>
      <sheetName val="THCS"/>
      <sheetName val="THPT"/>
      <sheetName val="GDTX"/>
      <sheetName val="CĐ"/>
      <sheetName val="Chi NSNN cho GDĐT"/>
      <sheetName val="Tài chính"/>
      <sheetName val="Đối tượng CS"/>
      <sheetName val="KH phat trien"/>
      <sheetName val="TINH"/>
      <sheetName val="THPT2"/>
      <sheetName val="danh sach sap nhap truong"/>
      <sheetName val="Sheet1"/>
    </sheetNames>
    <sheetDataSet>
      <sheetData sheetId="0">
        <row r="87">
          <cell r="F87">
            <v>43.5</v>
          </cell>
        </row>
        <row r="105">
          <cell r="F105">
            <v>99.9</v>
          </cell>
        </row>
        <row r="107">
          <cell r="F107">
            <v>99.9</v>
          </cell>
        </row>
        <row r="113">
          <cell r="F113">
            <v>2.5</v>
          </cell>
        </row>
        <row r="117">
          <cell r="F117">
            <v>35</v>
          </cell>
        </row>
        <row r="119">
          <cell r="F119">
            <v>1</v>
          </cell>
        </row>
        <row r="129">
          <cell r="F129">
            <v>118</v>
          </cell>
        </row>
        <row r="144">
          <cell r="F144">
            <v>282</v>
          </cell>
        </row>
        <row r="160">
          <cell r="F160">
            <v>99.88230678697528</v>
          </cell>
        </row>
        <row r="168">
          <cell r="F168">
            <v>4.8</v>
          </cell>
        </row>
        <row r="172">
          <cell r="F172">
            <v>19</v>
          </cell>
        </row>
        <row r="177">
          <cell r="F177">
            <v>9</v>
          </cell>
        </row>
        <row r="197">
          <cell r="F197">
            <v>42.9</v>
          </cell>
        </row>
        <row r="199">
          <cell r="F199">
            <v>210</v>
          </cell>
        </row>
        <row r="202">
          <cell r="F202">
            <v>5448</v>
          </cell>
        </row>
        <row r="213">
          <cell r="F213">
            <v>1886</v>
          </cell>
        </row>
        <row r="215">
          <cell r="F215">
            <v>100</v>
          </cell>
        </row>
        <row r="217">
          <cell r="F217">
            <v>99.8</v>
          </cell>
        </row>
        <row r="223">
          <cell r="F223">
            <v>5.3</v>
          </cell>
        </row>
        <row r="227">
          <cell r="F227">
            <v>6</v>
          </cell>
        </row>
        <row r="232">
          <cell r="F232">
            <v>5</v>
          </cell>
        </row>
        <row r="239">
          <cell r="F239">
            <v>15</v>
          </cell>
        </row>
        <row r="242">
          <cell r="F242">
            <v>269</v>
          </cell>
        </row>
        <row r="254">
          <cell r="F254">
            <v>29</v>
          </cell>
        </row>
        <row r="268">
          <cell r="F268">
            <v>210</v>
          </cell>
        </row>
        <row r="270">
          <cell r="F270">
            <v>99.52606635071089</v>
          </cell>
        </row>
        <row r="272">
          <cell r="F272">
            <v>99</v>
          </cell>
        </row>
        <row r="278">
          <cell r="F278">
            <v>4.1</v>
          </cell>
        </row>
        <row r="307">
          <cell r="F307">
            <v>47.463359639233374</v>
          </cell>
        </row>
        <row r="323">
          <cell r="F323">
            <v>1451</v>
          </cell>
        </row>
        <row r="325">
          <cell r="F325">
            <v>100</v>
          </cell>
        </row>
        <row r="327">
          <cell r="F327">
            <v>99.81105337742088</v>
          </cell>
        </row>
        <row r="332">
          <cell r="F332">
            <v>4</v>
          </cell>
        </row>
        <row r="333">
          <cell r="F333">
            <v>4.1</v>
          </cell>
        </row>
        <row r="337">
          <cell r="F337">
            <v>12</v>
          </cell>
        </row>
        <row r="342">
          <cell r="F342">
            <v>5</v>
          </cell>
        </row>
        <row r="364">
          <cell r="F364">
            <v>184</v>
          </cell>
        </row>
        <row r="367">
          <cell r="F367">
            <v>4247</v>
          </cell>
        </row>
        <row r="378">
          <cell r="F378">
            <v>1470</v>
          </cell>
        </row>
        <row r="380">
          <cell r="F380">
            <v>100</v>
          </cell>
        </row>
        <row r="388">
          <cell r="F388">
            <v>4</v>
          </cell>
        </row>
        <row r="392">
          <cell r="F392">
            <v>15</v>
          </cell>
        </row>
        <row r="397">
          <cell r="F397">
            <v>6</v>
          </cell>
        </row>
        <row r="417">
          <cell r="F417">
            <v>38.07692307692308</v>
          </cell>
        </row>
        <row r="419">
          <cell r="F419">
            <v>205</v>
          </cell>
        </row>
        <row r="433">
          <cell r="F433">
            <v>1650</v>
          </cell>
        </row>
        <row r="435">
          <cell r="F435">
            <v>100</v>
          </cell>
        </row>
        <row r="437">
          <cell r="F437">
            <v>97.13247944943605</v>
          </cell>
        </row>
        <row r="443">
          <cell r="F443">
            <v>4.7</v>
          </cell>
        </row>
        <row r="447">
          <cell r="F447">
            <v>13</v>
          </cell>
        </row>
        <row r="459">
          <cell r="F459">
            <v>35</v>
          </cell>
        </row>
        <row r="474">
          <cell r="F474">
            <v>146</v>
          </cell>
        </row>
        <row r="477">
          <cell r="F477">
            <v>3398</v>
          </cell>
        </row>
        <row r="488">
          <cell r="F488">
            <v>1193</v>
          </cell>
        </row>
        <row r="492">
          <cell r="F492">
            <v>99.85307081986483</v>
          </cell>
        </row>
        <row r="497">
          <cell r="F497">
            <v>3.9</v>
          </cell>
        </row>
        <row r="498">
          <cell r="F498">
            <v>5</v>
          </cell>
        </row>
        <row r="502">
          <cell r="F502">
            <v>25</v>
          </cell>
        </row>
        <row r="507">
          <cell r="F507">
            <v>18</v>
          </cell>
        </row>
        <row r="514">
          <cell r="F514">
            <v>88</v>
          </cell>
        </row>
        <row r="527">
          <cell r="F527">
            <v>45.7</v>
          </cell>
        </row>
        <row r="529">
          <cell r="F529">
            <v>228</v>
          </cell>
        </row>
        <row r="532">
          <cell r="F532">
            <v>6007</v>
          </cell>
        </row>
        <row r="543">
          <cell r="F543">
            <v>2116</v>
          </cell>
        </row>
        <row r="545">
          <cell r="F545">
            <v>99.8</v>
          </cell>
        </row>
        <row r="547">
          <cell r="F547">
            <v>99.8</v>
          </cell>
        </row>
        <row r="552">
          <cell r="F552">
            <v>4</v>
          </cell>
        </row>
        <row r="553">
          <cell r="F553">
            <v>4.5</v>
          </cell>
        </row>
        <row r="558">
          <cell r="F558">
            <v>14</v>
          </cell>
        </row>
        <row r="584">
          <cell r="F584">
            <v>174</v>
          </cell>
        </row>
        <row r="600">
          <cell r="F600">
            <v>100</v>
          </cell>
        </row>
        <row r="602">
          <cell r="F602">
            <v>99.36868686868686</v>
          </cell>
        </row>
        <row r="608">
          <cell r="F608">
            <v>5.9</v>
          </cell>
        </row>
      </sheetData>
      <sheetData sheetId="1">
        <row r="52">
          <cell r="F52">
            <v>9</v>
          </cell>
        </row>
        <row r="58">
          <cell r="F58">
            <v>9</v>
          </cell>
        </row>
        <row r="69">
          <cell r="F69">
            <v>0</v>
          </cell>
        </row>
        <row r="77">
          <cell r="F77">
            <v>99.8</v>
          </cell>
        </row>
        <row r="79">
          <cell r="F79">
            <v>99.8</v>
          </cell>
        </row>
        <row r="82">
          <cell r="F82" t="str">
            <v>0,2</v>
          </cell>
        </row>
        <row r="84">
          <cell r="F84">
            <v>0</v>
          </cell>
        </row>
        <row r="92">
          <cell r="F92">
            <v>9</v>
          </cell>
        </row>
        <row r="95">
          <cell r="F95">
            <v>9</v>
          </cell>
        </row>
        <row r="98">
          <cell r="F98">
            <v>31</v>
          </cell>
        </row>
        <row r="101">
          <cell r="F101">
            <v>8</v>
          </cell>
        </row>
        <row r="115">
          <cell r="F115">
            <v>1547</v>
          </cell>
        </row>
        <row r="118">
          <cell r="F118">
            <v>474</v>
          </cell>
        </row>
        <row r="123">
          <cell r="F123">
            <v>99.9</v>
          </cell>
        </row>
        <row r="125">
          <cell r="F125">
            <v>99.8</v>
          </cell>
        </row>
        <row r="128">
          <cell r="F128">
            <v>0.3</v>
          </cell>
        </row>
        <row r="138">
          <cell r="F138">
            <v>25</v>
          </cell>
        </row>
        <row r="141">
          <cell r="F141">
            <v>25</v>
          </cell>
        </row>
        <row r="144">
          <cell r="F144">
            <v>23</v>
          </cell>
        </row>
        <row r="147">
          <cell r="F147">
            <v>18</v>
          </cell>
        </row>
        <row r="150">
          <cell r="F150">
            <v>14</v>
          </cell>
        </row>
        <row r="159">
          <cell r="F159">
            <v>8633</v>
          </cell>
        </row>
        <row r="160">
          <cell r="F160">
            <v>4116</v>
          </cell>
        </row>
        <row r="161">
          <cell r="F161">
            <v>3498</v>
          </cell>
        </row>
        <row r="164">
          <cell r="F164">
            <v>384</v>
          </cell>
        </row>
        <row r="169">
          <cell r="F169">
            <v>100</v>
          </cell>
        </row>
        <row r="171">
          <cell r="F171">
            <v>100</v>
          </cell>
        </row>
        <row r="184">
          <cell r="F184">
            <v>13</v>
          </cell>
        </row>
        <row r="187">
          <cell r="F187">
            <v>11</v>
          </cell>
        </row>
        <row r="190">
          <cell r="F190">
            <v>4</v>
          </cell>
        </row>
        <row r="193">
          <cell r="F193">
            <v>0</v>
          </cell>
        </row>
        <row r="205">
          <cell r="F205">
            <v>1132</v>
          </cell>
        </row>
        <row r="206">
          <cell r="F206">
            <v>531</v>
          </cell>
        </row>
        <row r="207">
          <cell r="F207">
            <v>2</v>
          </cell>
        </row>
        <row r="210">
          <cell r="F210">
            <v>52</v>
          </cell>
        </row>
        <row r="220">
          <cell r="F220">
            <v>0</v>
          </cell>
        </row>
        <row r="222">
          <cell r="F222">
            <v>0</v>
          </cell>
        </row>
        <row r="230">
          <cell r="F230">
            <v>3</v>
          </cell>
        </row>
        <row r="233">
          <cell r="F233">
            <v>3</v>
          </cell>
        </row>
        <row r="239">
          <cell r="F239">
            <v>10</v>
          </cell>
        </row>
        <row r="253">
          <cell r="F253">
            <v>2137</v>
          </cell>
        </row>
        <row r="261">
          <cell r="F261">
            <v>100</v>
          </cell>
        </row>
        <row r="263">
          <cell r="F263">
            <v>99.9</v>
          </cell>
        </row>
        <row r="266">
          <cell r="F266">
            <v>0.1</v>
          </cell>
        </row>
        <row r="268">
          <cell r="F268">
            <v>0</v>
          </cell>
        </row>
        <row r="276">
          <cell r="F276">
            <v>11</v>
          </cell>
        </row>
        <row r="279">
          <cell r="F279">
            <v>10</v>
          </cell>
        </row>
        <row r="282">
          <cell r="F282">
            <v>13</v>
          </cell>
        </row>
        <row r="288">
          <cell r="F288">
            <v>5</v>
          </cell>
        </row>
        <row r="297">
          <cell r="F297">
            <v>6692</v>
          </cell>
        </row>
        <row r="298">
          <cell r="F298">
            <v>3232</v>
          </cell>
        </row>
        <row r="299">
          <cell r="F299">
            <v>2986</v>
          </cell>
        </row>
        <row r="302">
          <cell r="F302">
            <v>285</v>
          </cell>
        </row>
        <row r="307">
          <cell r="F307">
            <v>100</v>
          </cell>
        </row>
        <row r="309">
          <cell r="F309">
            <v>99</v>
          </cell>
        </row>
        <row r="312">
          <cell r="F312">
            <v>0</v>
          </cell>
        </row>
        <row r="314">
          <cell r="F314">
            <v>0</v>
          </cell>
        </row>
        <row r="328">
          <cell r="F328">
            <v>15</v>
          </cell>
        </row>
        <row r="334">
          <cell r="F334">
            <v>11</v>
          </cell>
        </row>
        <row r="343">
          <cell r="F343">
            <v>7492</v>
          </cell>
        </row>
        <row r="344">
          <cell r="F344">
            <v>3634</v>
          </cell>
        </row>
        <row r="353">
          <cell r="F353">
            <v>99.8</v>
          </cell>
        </row>
        <row r="358">
          <cell r="F358">
            <v>0.2</v>
          </cell>
        </row>
        <row r="368">
          <cell r="F368">
            <v>11</v>
          </cell>
        </row>
        <row r="371">
          <cell r="F371">
            <v>15</v>
          </cell>
        </row>
        <row r="374">
          <cell r="F374">
            <v>13</v>
          </cell>
        </row>
        <row r="377">
          <cell r="F377">
            <v>2</v>
          </cell>
        </row>
        <row r="380">
          <cell r="F380">
            <v>10</v>
          </cell>
        </row>
        <row r="389">
          <cell r="F389">
            <v>5580</v>
          </cell>
        </row>
        <row r="390">
          <cell r="F390">
            <v>2685</v>
          </cell>
        </row>
        <row r="394">
          <cell r="F394">
            <v>238</v>
          </cell>
        </row>
        <row r="401">
          <cell r="F401">
            <v>99.8</v>
          </cell>
        </row>
        <row r="404">
          <cell r="F404">
            <v>0.2</v>
          </cell>
        </row>
        <row r="406">
          <cell r="F406">
            <v>0</v>
          </cell>
        </row>
        <row r="414">
          <cell r="F414">
            <v>10</v>
          </cell>
        </row>
        <row r="417">
          <cell r="F417">
            <v>10</v>
          </cell>
        </row>
        <row r="420">
          <cell r="F420">
            <v>26</v>
          </cell>
        </row>
        <row r="426">
          <cell r="F426">
            <v>24</v>
          </cell>
        </row>
        <row r="435">
          <cell r="F435">
            <v>9810</v>
          </cell>
        </row>
        <row r="436">
          <cell r="F436">
            <v>4737</v>
          </cell>
        </row>
        <row r="437">
          <cell r="F437">
            <v>1810</v>
          </cell>
        </row>
        <row r="440">
          <cell r="F440">
            <v>420</v>
          </cell>
        </row>
        <row r="445">
          <cell r="F445">
            <v>99.8</v>
          </cell>
        </row>
        <row r="447">
          <cell r="F447">
            <v>99.5</v>
          </cell>
        </row>
        <row r="450">
          <cell r="F450">
            <v>0.1</v>
          </cell>
        </row>
        <row r="452">
          <cell r="F452">
            <v>0.02</v>
          </cell>
        </row>
        <row r="460">
          <cell r="F460">
            <v>10</v>
          </cell>
        </row>
        <row r="463">
          <cell r="F463">
            <v>13</v>
          </cell>
        </row>
        <row r="466">
          <cell r="F466">
            <v>13</v>
          </cell>
        </row>
        <row r="472">
          <cell r="F472">
            <v>5</v>
          </cell>
        </row>
        <row r="481">
          <cell r="D481">
            <v>7063</v>
          </cell>
        </row>
        <row r="482">
          <cell r="D482">
            <v>3340</v>
          </cell>
        </row>
        <row r="486">
          <cell r="F486">
            <v>282</v>
          </cell>
        </row>
        <row r="491">
          <cell r="F491">
            <v>100</v>
          </cell>
        </row>
        <row r="493">
          <cell r="F493">
            <v>99.9</v>
          </cell>
        </row>
        <row r="496">
          <cell r="F496">
            <v>0</v>
          </cell>
        </row>
        <row r="506">
          <cell r="F506">
            <v>7</v>
          </cell>
        </row>
        <row r="509">
          <cell r="F509">
            <v>5</v>
          </cell>
        </row>
      </sheetData>
      <sheetData sheetId="2">
        <row r="50">
          <cell r="F50">
            <v>8</v>
          </cell>
        </row>
        <row r="53">
          <cell r="F53">
            <v>0</v>
          </cell>
        </row>
        <row r="56">
          <cell r="F56">
            <v>8</v>
          </cell>
        </row>
        <row r="67">
          <cell r="F67">
            <v>0</v>
          </cell>
        </row>
        <row r="77">
          <cell r="F77">
            <v>99.5</v>
          </cell>
        </row>
        <row r="80">
          <cell r="F80">
            <v>0.6</v>
          </cell>
        </row>
        <row r="82">
          <cell r="F82">
            <v>0</v>
          </cell>
        </row>
        <row r="90">
          <cell r="F90">
            <v>9</v>
          </cell>
        </row>
        <row r="91">
          <cell r="F91">
            <v>9</v>
          </cell>
        </row>
        <row r="94">
          <cell r="F94">
            <v>26</v>
          </cell>
        </row>
        <row r="96">
          <cell r="F96">
            <v>1</v>
          </cell>
        </row>
        <row r="97">
          <cell r="F97">
            <v>3</v>
          </cell>
        </row>
        <row r="100">
          <cell r="F100">
            <v>19</v>
          </cell>
        </row>
        <row r="111">
          <cell r="F111">
            <v>1963</v>
          </cell>
        </row>
        <row r="126">
          <cell r="F126">
            <v>0.16220600162206003</v>
          </cell>
        </row>
        <row r="134">
          <cell r="F134">
            <v>25</v>
          </cell>
        </row>
        <row r="135">
          <cell r="F135">
            <v>15</v>
          </cell>
        </row>
        <row r="138">
          <cell r="F138">
            <v>15</v>
          </cell>
        </row>
        <row r="141">
          <cell r="F141">
            <v>12</v>
          </cell>
        </row>
        <row r="144">
          <cell r="F144">
            <v>14</v>
          </cell>
        </row>
        <row r="153">
          <cell r="F153">
            <v>5563</v>
          </cell>
        </row>
        <row r="154">
          <cell r="F154">
            <v>2432</v>
          </cell>
        </row>
        <row r="155">
          <cell r="F155">
            <v>3410</v>
          </cell>
        </row>
        <row r="158">
          <cell r="F158">
            <v>158</v>
          </cell>
        </row>
        <row r="163">
          <cell r="F163">
            <v>96.7</v>
          </cell>
        </row>
        <row r="165">
          <cell r="F165">
            <v>93.9</v>
          </cell>
        </row>
        <row r="168">
          <cell r="F168">
            <v>0.4</v>
          </cell>
        </row>
        <row r="170">
          <cell r="F170">
            <v>0.8</v>
          </cell>
        </row>
        <row r="178">
          <cell r="F178">
            <v>14</v>
          </cell>
        </row>
        <row r="182">
          <cell r="F182">
            <v>4</v>
          </cell>
        </row>
        <row r="185">
          <cell r="F185">
            <v>0</v>
          </cell>
        </row>
        <row r="188">
          <cell r="F188">
            <v>4</v>
          </cell>
        </row>
        <row r="199">
          <cell r="F199">
            <v>87</v>
          </cell>
        </row>
        <row r="202">
          <cell r="F202">
            <v>24</v>
          </cell>
        </row>
        <row r="207">
          <cell r="F207">
            <v>99</v>
          </cell>
        </row>
        <row r="209">
          <cell r="F209">
            <v>98</v>
          </cell>
        </row>
        <row r="212">
          <cell r="F212">
            <v>0.1</v>
          </cell>
        </row>
        <row r="214">
          <cell r="F214">
            <v>0.1</v>
          </cell>
        </row>
        <row r="222">
          <cell r="F222">
            <v>3</v>
          </cell>
        </row>
        <row r="223">
          <cell r="F223">
            <v>2</v>
          </cell>
        </row>
        <row r="229">
          <cell r="F229">
            <v>9</v>
          </cell>
        </row>
        <row r="241">
          <cell r="F241">
            <v>4347</v>
          </cell>
        </row>
        <row r="242">
          <cell r="F242">
            <v>1981</v>
          </cell>
        </row>
        <row r="243">
          <cell r="F243">
            <v>2288</v>
          </cell>
        </row>
        <row r="251">
          <cell r="F251">
            <v>96.6</v>
          </cell>
        </row>
        <row r="253">
          <cell r="F253">
            <v>96.6</v>
          </cell>
        </row>
        <row r="256">
          <cell r="F256">
            <v>0.5981136415919025</v>
          </cell>
        </row>
        <row r="258">
          <cell r="F258">
            <v>0.7131354957441914</v>
          </cell>
        </row>
        <row r="266">
          <cell r="F266">
            <v>12</v>
          </cell>
        </row>
        <row r="270">
          <cell r="F270">
            <v>11</v>
          </cell>
        </row>
        <row r="273">
          <cell r="F273">
            <v>11</v>
          </cell>
        </row>
        <row r="276">
          <cell r="F276">
            <v>6</v>
          </cell>
        </row>
        <row r="287">
          <cell r="F287">
            <v>3270</v>
          </cell>
        </row>
        <row r="290">
          <cell r="F290">
            <v>136</v>
          </cell>
        </row>
        <row r="310">
          <cell r="F310">
            <v>11</v>
          </cell>
        </row>
        <row r="314">
          <cell r="F314">
            <v>15</v>
          </cell>
        </row>
        <row r="317">
          <cell r="F317">
            <v>13</v>
          </cell>
        </row>
        <row r="320">
          <cell r="F320">
            <v>9</v>
          </cell>
        </row>
        <row r="331">
          <cell r="F331">
            <v>3599</v>
          </cell>
        </row>
        <row r="339">
          <cell r="F339">
            <v>96.2</v>
          </cell>
        </row>
        <row r="341">
          <cell r="F341">
            <v>96</v>
          </cell>
        </row>
        <row r="344">
          <cell r="F344">
            <v>0.6</v>
          </cell>
        </row>
        <row r="346">
          <cell r="F346">
            <v>0.3</v>
          </cell>
        </row>
        <row r="354">
          <cell r="F354">
            <v>14</v>
          </cell>
        </row>
        <row r="355">
          <cell r="F355">
            <v>3</v>
          </cell>
        </row>
        <row r="358">
          <cell r="F358">
            <v>10</v>
          </cell>
        </row>
        <row r="361">
          <cell r="F361">
            <v>0</v>
          </cell>
        </row>
        <row r="364">
          <cell r="F364">
            <v>8</v>
          </cell>
        </row>
        <row r="375">
          <cell r="F375">
            <v>900</v>
          </cell>
        </row>
        <row r="390">
          <cell r="F390">
            <v>0.4155844155844156</v>
          </cell>
        </row>
        <row r="398">
          <cell r="F398">
            <v>10</v>
          </cell>
        </row>
        <row r="402">
          <cell r="F402">
            <v>17</v>
          </cell>
        </row>
        <row r="405">
          <cell r="F405">
            <v>5</v>
          </cell>
        </row>
        <row r="408">
          <cell r="F408">
            <v>13</v>
          </cell>
        </row>
        <row r="419">
          <cell r="F419">
            <v>2475</v>
          </cell>
        </row>
        <row r="427">
          <cell r="F427">
            <v>98</v>
          </cell>
        </row>
        <row r="429">
          <cell r="F429">
            <v>95</v>
          </cell>
        </row>
        <row r="434">
          <cell r="F434">
            <v>0.5</v>
          </cell>
        </row>
        <row r="442">
          <cell r="F442">
            <v>19</v>
          </cell>
        </row>
        <row r="449">
          <cell r="F449">
            <v>6</v>
          </cell>
        </row>
        <row r="452">
          <cell r="F452">
            <v>6</v>
          </cell>
        </row>
        <row r="463">
          <cell r="F463">
            <v>2946</v>
          </cell>
        </row>
        <row r="466">
          <cell r="F466">
            <v>133</v>
          </cell>
        </row>
        <row r="473">
          <cell r="F473">
            <v>91.2</v>
          </cell>
        </row>
        <row r="486">
          <cell r="F486">
            <v>11</v>
          </cell>
        </row>
      </sheetData>
      <sheetData sheetId="3">
        <row r="6">
          <cell r="U6">
            <v>10</v>
          </cell>
        </row>
        <row r="7">
          <cell r="U7">
            <v>0</v>
          </cell>
        </row>
        <row r="8">
          <cell r="U8">
            <v>430</v>
          </cell>
        </row>
        <row r="9">
          <cell r="Z9">
            <v>912</v>
          </cell>
        </row>
        <row r="14">
          <cell r="Z14">
            <v>1091</v>
          </cell>
        </row>
        <row r="16">
          <cell r="Z16">
            <v>235</v>
          </cell>
        </row>
        <row r="17">
          <cell r="Z17">
            <v>600</v>
          </cell>
        </row>
        <row r="18">
          <cell r="Z18">
            <v>825</v>
          </cell>
        </row>
        <row r="19">
          <cell r="Y19">
            <v>41</v>
          </cell>
          <cell r="Z19">
            <v>540</v>
          </cell>
        </row>
        <row r="20">
          <cell r="Z20">
            <v>660</v>
          </cell>
        </row>
        <row r="22">
          <cell r="Z22">
            <v>565</v>
          </cell>
        </row>
        <row r="24">
          <cell r="Y24">
            <v>38</v>
          </cell>
          <cell r="Z24">
            <v>636</v>
          </cell>
        </row>
        <row r="26">
          <cell r="S26">
            <v>600</v>
          </cell>
          <cell r="U26">
            <v>0</v>
          </cell>
        </row>
        <row r="27">
          <cell r="S27">
            <v>350</v>
          </cell>
        </row>
        <row r="28">
          <cell r="S28">
            <v>350</v>
          </cell>
        </row>
        <row r="29">
          <cell r="S29">
            <v>350</v>
          </cell>
        </row>
        <row r="30">
          <cell r="S30">
            <v>350</v>
          </cell>
        </row>
        <row r="34">
          <cell r="U34">
            <v>0</v>
          </cell>
        </row>
        <row r="952">
          <cell r="F952">
            <v>350</v>
          </cell>
        </row>
        <row r="988">
          <cell r="F988">
            <v>350</v>
          </cell>
        </row>
        <row r="1024">
          <cell r="F1024">
            <v>350</v>
          </cell>
        </row>
        <row r="1132">
          <cell r="F1132">
            <v>210</v>
          </cell>
        </row>
      </sheetData>
      <sheetData sheetId="11">
        <row r="19">
          <cell r="J19">
            <v>810</v>
          </cell>
        </row>
        <row r="35">
          <cell r="J35">
            <v>350</v>
          </cell>
        </row>
        <row r="42">
          <cell r="J42">
            <v>190</v>
          </cell>
        </row>
        <row r="43">
          <cell r="J43">
            <v>150</v>
          </cell>
        </row>
        <row r="44">
          <cell r="J44">
            <v>90</v>
          </cell>
        </row>
        <row r="45">
          <cell r="J45">
            <v>131</v>
          </cell>
        </row>
        <row r="46">
          <cell r="J46">
            <v>85</v>
          </cell>
        </row>
        <row r="47">
          <cell r="J47">
            <v>79</v>
          </cell>
        </row>
        <row r="48">
          <cell r="J48">
            <v>220</v>
          </cell>
        </row>
        <row r="49">
          <cell r="J49">
            <v>100</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1. Chi tieu KT"/>
      <sheetName val="2. CN NN DV"/>
      <sheetName val="2.1 - NN "/>
      <sheetName val="2.2 - CN DV"/>
      <sheetName val="3. XH"/>
      <sheetName val="3.1.SNLDVL"/>
      <sheetName val="3.2.SN daotao"/>
      <sheetName val="3.3.SNGDDT"/>
      <sheetName val="3.4.SNYte"/>
      <sheetName val="3.5.SNVHTTDL"/>
      <sheetName val="4. MT"/>
      <sheetName val="5. PTDN"/>
      <sheetName val="6. FDI"/>
      <sheetName val="8. CNTT"/>
      <sheetName val="7.Cac du an Quy hoach"/>
      <sheetName val="9. Nhom A DP"/>
      <sheetName val="10.TPCP-DP"/>
      <sheetName val="11. TƯV"/>
      <sheetName val="12.No XDCB"/>
    </sheetNames>
    <sheetDataSet>
      <sheetData sheetId="1">
        <row r="4">
          <cell r="A4" t="str">
            <v>(Kèm theo quyết định số          /QĐ-UBND ngày      /12/2018 của UBND tỉnh Điện Biên)</v>
          </cell>
        </row>
      </sheetData>
      <sheetData sheetId="2">
        <row r="12">
          <cell r="G12">
            <v>185697.25316000002</v>
          </cell>
        </row>
        <row r="16">
          <cell r="G16">
            <v>9415.730000000001</v>
          </cell>
        </row>
        <row r="20">
          <cell r="G20">
            <v>18756.032</v>
          </cell>
        </row>
        <row r="24">
          <cell r="G24">
            <v>23022.7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4.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S64"/>
  <sheetViews>
    <sheetView view="pageBreakPreview" zoomScale="110" zoomScaleNormal="115" zoomScaleSheetLayoutView="110" zoomScalePageLayoutView="0" workbookViewId="0" topLeftCell="A3">
      <pane xSplit="2" ySplit="6" topLeftCell="C53" activePane="bottomRight" state="frozen"/>
      <selection pane="topLeft" activeCell="A3" sqref="A3"/>
      <selection pane="topRight" activeCell="C3" sqref="C3"/>
      <selection pane="bottomLeft" activeCell="A8" sqref="A8"/>
      <selection pane="bottomRight" activeCell="B19" sqref="B19"/>
    </sheetView>
  </sheetViews>
  <sheetFormatPr defaultColWidth="9.00390625" defaultRowHeight="15.75"/>
  <cols>
    <col min="1" max="1" width="3.625" style="166" customWidth="1"/>
    <col min="2" max="2" width="42.625" style="166" customWidth="1"/>
    <col min="3" max="3" width="10.625" style="166" customWidth="1"/>
    <col min="4" max="4" width="13.25390625" style="231" customWidth="1"/>
    <col min="5" max="5" width="12.625" style="231" customWidth="1"/>
    <col min="6" max="6" width="12.00390625" style="231" hidden="1" customWidth="1"/>
    <col min="7" max="7" width="12.375" style="231" customWidth="1"/>
    <col min="8" max="9" width="11.75390625" style="232" customWidth="1"/>
    <col min="10" max="10" width="12.75390625" style="231" customWidth="1"/>
    <col min="11" max="11" width="14.125" style="231" customWidth="1"/>
    <col min="12" max="12" width="16.00390625" style="166" hidden="1" customWidth="1"/>
    <col min="13" max="13" width="17.50390625" style="166" hidden="1" customWidth="1"/>
    <col min="14" max="14" width="0" style="166" hidden="1" customWidth="1"/>
    <col min="15" max="15" width="25.125" style="166" hidden="1" customWidth="1"/>
    <col min="16" max="16" width="9.00390625" style="166" customWidth="1"/>
    <col min="17" max="17" width="11.875" style="166" bestFit="1" customWidth="1"/>
    <col min="18" max="18" width="9.00390625" style="166" customWidth="1"/>
    <col min="19" max="19" width="10.875" style="166" customWidth="1"/>
    <col min="20" max="16384" width="9.00390625" style="166" customWidth="1"/>
  </cols>
  <sheetData>
    <row r="1" spans="1:11" ht="19.5">
      <c r="A1" s="214"/>
      <c r="B1" s="149"/>
      <c r="C1" s="149"/>
      <c r="D1" s="215"/>
      <c r="E1" s="215"/>
      <c r="F1" s="215"/>
      <c r="G1" s="215"/>
      <c r="H1" s="216"/>
      <c r="I1" s="216"/>
      <c r="J1" s="215"/>
      <c r="K1" s="217" t="s">
        <v>461</v>
      </c>
    </row>
    <row r="2" spans="1:11" ht="21" customHeight="1">
      <c r="A2" s="1296" t="s">
        <v>1</v>
      </c>
      <c r="B2" s="1296"/>
      <c r="C2" s="1296"/>
      <c r="D2" s="1296"/>
      <c r="E2" s="1296"/>
      <c r="F2" s="1296"/>
      <c r="G2" s="1296"/>
      <c r="H2" s="1296"/>
      <c r="I2" s="1296"/>
      <c r="J2" s="1296"/>
      <c r="K2" s="1296"/>
    </row>
    <row r="3" spans="1:11" s="506" customFormat="1" ht="24.75" customHeight="1">
      <c r="A3" s="1297" t="s">
        <v>1187</v>
      </c>
      <c r="B3" s="1297"/>
      <c r="C3" s="1297"/>
      <c r="D3" s="1297"/>
      <c r="E3" s="1297"/>
      <c r="F3" s="1297"/>
      <c r="G3" s="1297"/>
      <c r="H3" s="1297"/>
      <c r="I3" s="1297"/>
      <c r="J3" s="1297"/>
      <c r="K3" s="1297"/>
    </row>
    <row r="4" spans="1:11" s="506" customFormat="1" ht="24.75" customHeight="1">
      <c r="A4" s="1302" t="str">
        <f>'3. XH'!A3:K3</f>
        <v>(Kèm theo quyết định số          /QĐ-UBND ngày      /12/2018 của UBND tỉnh Điện Biên)</v>
      </c>
      <c r="B4" s="1302"/>
      <c r="C4" s="1302"/>
      <c r="D4" s="1302"/>
      <c r="E4" s="1302"/>
      <c r="F4" s="1302"/>
      <c r="G4" s="1302"/>
      <c r="H4" s="1302"/>
      <c r="I4" s="1302"/>
      <c r="J4" s="1302"/>
      <c r="K4" s="1302"/>
    </row>
    <row r="5" spans="1:11" ht="15.75">
      <c r="A5" s="149"/>
      <c r="B5" s="149"/>
      <c r="C5" s="149"/>
      <c r="D5" s="215"/>
      <c r="E5" s="215"/>
      <c r="F5" s="215"/>
      <c r="G5" s="215"/>
      <c r="H5" s="216"/>
      <c r="I5" s="216"/>
      <c r="J5" s="215"/>
      <c r="K5" s="215"/>
    </row>
    <row r="6" spans="1:11" s="218" customFormat="1" ht="26.25" customHeight="1">
      <c r="A6" s="1298" t="s">
        <v>2</v>
      </c>
      <c r="B6" s="1298" t="s">
        <v>3</v>
      </c>
      <c r="C6" s="1298" t="s">
        <v>4</v>
      </c>
      <c r="D6" s="1298" t="s">
        <v>472</v>
      </c>
      <c r="E6" s="1299" t="s">
        <v>468</v>
      </c>
      <c r="F6" s="1300"/>
      <c r="G6" s="1300"/>
      <c r="H6" s="1300"/>
      <c r="I6" s="1301"/>
      <c r="J6" s="1298" t="s">
        <v>470</v>
      </c>
      <c r="K6" s="1298" t="s">
        <v>471</v>
      </c>
    </row>
    <row r="7" spans="1:11" s="218" customFormat="1" ht="81" customHeight="1">
      <c r="A7" s="1298"/>
      <c r="B7" s="1298"/>
      <c r="C7" s="1298"/>
      <c r="D7" s="1298"/>
      <c r="E7" s="1010" t="s">
        <v>5</v>
      </c>
      <c r="F7" s="1010" t="s">
        <v>463</v>
      </c>
      <c r="G7" s="1010" t="s">
        <v>7</v>
      </c>
      <c r="H7" s="219" t="s">
        <v>469</v>
      </c>
      <c r="I7" s="219" t="s">
        <v>1169</v>
      </c>
      <c r="J7" s="1298"/>
      <c r="K7" s="1298"/>
    </row>
    <row r="8" spans="1:11" s="222" customFormat="1" ht="22.5" customHeight="1">
      <c r="A8" s="220">
        <v>1</v>
      </c>
      <c r="B8" s="220">
        <v>2</v>
      </c>
      <c r="C8" s="220">
        <v>3</v>
      </c>
      <c r="D8" s="220">
        <v>4</v>
      </c>
      <c r="E8" s="220">
        <v>5</v>
      </c>
      <c r="F8" s="220">
        <v>6</v>
      </c>
      <c r="G8" s="220">
        <v>6</v>
      </c>
      <c r="H8" s="221" t="s">
        <v>1170</v>
      </c>
      <c r="I8" s="221" t="s">
        <v>1171</v>
      </c>
      <c r="J8" s="220">
        <v>9</v>
      </c>
      <c r="K8" s="220" t="s">
        <v>9</v>
      </c>
    </row>
    <row r="9" spans="1:17" s="149" customFormat="1" ht="39.75" customHeight="1">
      <c r="A9" s="169">
        <v>1</v>
      </c>
      <c r="B9" s="223" t="s">
        <v>10</v>
      </c>
      <c r="C9" s="169" t="s">
        <v>11</v>
      </c>
      <c r="D9" s="504">
        <f>D11+D13+D15+D17</f>
        <v>9782.606</v>
      </c>
      <c r="E9" s="504">
        <f>E11+E13+E15+E17</f>
        <v>10414.043359399999</v>
      </c>
      <c r="F9" s="504">
        <f>F11+F13+F15+F17</f>
        <v>5334.557</v>
      </c>
      <c r="G9" s="504">
        <f>G11+G13+G15+G17</f>
        <v>10482.234999999999</v>
      </c>
      <c r="H9" s="504">
        <f>G9/D9*100</f>
        <v>107.15176508181969</v>
      </c>
      <c r="I9" s="504">
        <f>G9/E9*100</f>
        <v>100.65480465412551</v>
      </c>
      <c r="J9" s="504">
        <f>J11+J13+J15+J17</f>
        <v>11237.067931399999</v>
      </c>
      <c r="K9" s="504">
        <f>J9/G9*100</f>
        <v>107.20106858317907</v>
      </c>
      <c r="L9" s="224"/>
      <c r="M9" s="224">
        <f>E9-E11-E13-E15-E17</f>
        <v>-1.4210854715202004E-12</v>
      </c>
      <c r="N9" s="224">
        <f aca="true" t="shared" si="0" ref="N9:N17">G9-J9</f>
        <v>-754.8329314000002</v>
      </c>
      <c r="O9" s="149">
        <v>575785</v>
      </c>
      <c r="Q9" s="225"/>
    </row>
    <row r="10" spans="1:17" s="497" customFormat="1" ht="21" customHeight="1">
      <c r="A10" s="493"/>
      <c r="B10" s="494" t="s">
        <v>475</v>
      </c>
      <c r="C10" s="493"/>
      <c r="D10" s="495">
        <v>7.09</v>
      </c>
      <c r="E10" s="495">
        <v>7.15000000000001</v>
      </c>
      <c r="F10" s="495">
        <v>6.28</v>
      </c>
      <c r="G10" s="495">
        <f>ROUND(G9*100/D9,2)-100</f>
        <v>7.150000000000006</v>
      </c>
      <c r="H10" s="495"/>
      <c r="I10" s="267"/>
      <c r="J10" s="495">
        <f>ROUND(J9*100/G9,2)-100</f>
        <v>7.200000000000003</v>
      </c>
      <c r="K10" s="495"/>
      <c r="L10" s="496"/>
      <c r="M10" s="496"/>
      <c r="N10" s="496"/>
      <c r="Q10" s="498"/>
    </row>
    <row r="11" spans="1:17" ht="24" customHeight="1">
      <c r="A11" s="154" t="s">
        <v>13</v>
      </c>
      <c r="B11" s="152" t="s">
        <v>14</v>
      </c>
      <c r="C11" s="154" t="s">
        <v>11</v>
      </c>
      <c r="D11" s="267">
        <v>2061.041</v>
      </c>
      <c r="E11" s="267">
        <v>2095.755228</v>
      </c>
      <c r="F11" s="267">
        <v>1198.387</v>
      </c>
      <c r="G11" s="267">
        <v>2163.68</v>
      </c>
      <c r="H11" s="267">
        <f aca="true" t="shared" si="1" ref="H11:H25">G11/D11*100</f>
        <v>104.97995915656213</v>
      </c>
      <c r="I11" s="267">
        <f aca="true" t="shared" si="2" ref="I11:I19">G11/E11*100</f>
        <v>103.24106418022974</v>
      </c>
      <c r="J11" s="267">
        <f>G11*(1+J12/100)</f>
        <v>2267.103904</v>
      </c>
      <c r="K11" s="267">
        <f>J11/G11*100</f>
        <v>104.78</v>
      </c>
      <c r="L11" s="226">
        <f>E11-G11</f>
        <v>-67.92477199999985</v>
      </c>
      <c r="M11" s="166">
        <f>G11*2.8/100</f>
        <v>60.58303999999999</v>
      </c>
      <c r="N11" s="224">
        <f t="shared" si="0"/>
        <v>-103.42390400000022</v>
      </c>
      <c r="Q11" s="324"/>
    </row>
    <row r="12" spans="1:14" s="167" customFormat="1" ht="24" customHeight="1" hidden="1">
      <c r="A12" s="138"/>
      <c r="B12" s="153"/>
      <c r="C12" s="138"/>
      <c r="D12" s="499"/>
      <c r="E12" s="499">
        <f>ROUND(E11*100/D11,2)-100</f>
        <v>1.6800000000000068</v>
      </c>
      <c r="F12" s="499"/>
      <c r="G12" s="499">
        <f>ROUND(G11*100/D11,2)-100</f>
        <v>4.980000000000004</v>
      </c>
      <c r="H12" s="499"/>
      <c r="I12" s="267">
        <f t="shared" si="2"/>
        <v>296.4285714285705</v>
      </c>
      <c r="J12" s="499">
        <v>4.78</v>
      </c>
      <c r="K12" s="499"/>
      <c r="L12" s="500"/>
      <c r="N12" s="496"/>
    </row>
    <row r="13" spans="1:17" ht="24" customHeight="1">
      <c r="A13" s="154" t="s">
        <v>13</v>
      </c>
      <c r="B13" s="152" t="s">
        <v>15</v>
      </c>
      <c r="C13" s="154" t="s">
        <v>11</v>
      </c>
      <c r="D13" s="267">
        <v>2216.606</v>
      </c>
      <c r="E13" s="267">
        <v>2427.732305</v>
      </c>
      <c r="F13" s="267">
        <v>1238.18</v>
      </c>
      <c r="G13" s="267">
        <v>2427.704</v>
      </c>
      <c r="H13" s="267">
        <f t="shared" si="1"/>
        <v>109.52347868768739</v>
      </c>
      <c r="I13" s="267">
        <f t="shared" si="2"/>
        <v>99.99883409715554</v>
      </c>
      <c r="J13" s="267">
        <f>G13*(1+J14/100)</f>
        <v>2623.134172</v>
      </c>
      <c r="K13" s="267">
        <f>J13/G13*100</f>
        <v>108.05</v>
      </c>
      <c r="L13" s="226">
        <f>E13-G13</f>
        <v>0.028304999999818392</v>
      </c>
      <c r="M13" s="166">
        <f>G13*8.5/100</f>
        <v>206.35484</v>
      </c>
      <c r="N13" s="224">
        <f t="shared" si="0"/>
        <v>-195.43017199999986</v>
      </c>
      <c r="Q13" s="324"/>
    </row>
    <row r="14" spans="1:14" s="167" customFormat="1" ht="24" customHeight="1" hidden="1">
      <c r="A14" s="138"/>
      <c r="B14" s="153"/>
      <c r="C14" s="138"/>
      <c r="D14" s="499"/>
      <c r="E14" s="499">
        <f>ROUND(E13*100/D13,2)-100</f>
        <v>9.519999999999996</v>
      </c>
      <c r="F14" s="499"/>
      <c r="G14" s="499">
        <f>ROUND(G13*100/D13,2)-100</f>
        <v>9.519999999999996</v>
      </c>
      <c r="H14" s="499"/>
      <c r="I14" s="267">
        <f t="shared" si="2"/>
        <v>100</v>
      </c>
      <c r="J14" s="499">
        <v>8.05</v>
      </c>
      <c r="K14" s="499"/>
      <c r="L14" s="500"/>
      <c r="N14" s="496"/>
    </row>
    <row r="15" spans="1:17" ht="24" customHeight="1">
      <c r="A15" s="154" t="s">
        <v>13</v>
      </c>
      <c r="B15" s="152" t="s">
        <v>16</v>
      </c>
      <c r="C15" s="154" t="s">
        <v>11</v>
      </c>
      <c r="D15" s="267">
        <v>5251.263</v>
      </c>
      <c r="E15" s="267">
        <v>5624.707788000001</v>
      </c>
      <c r="F15" s="267">
        <v>2765.362</v>
      </c>
      <c r="G15" s="267">
        <v>5624.825</v>
      </c>
      <c r="H15" s="267">
        <f t="shared" si="1"/>
        <v>107.11375530039153</v>
      </c>
      <c r="I15" s="267">
        <f t="shared" si="2"/>
        <v>100.0020838771438</v>
      </c>
      <c r="J15" s="267">
        <f>G15*(1+J16/100)</f>
        <v>6068.06121</v>
      </c>
      <c r="K15" s="267">
        <f>J15/G15*100</f>
        <v>107.88</v>
      </c>
      <c r="L15" s="226">
        <f>E15-G15</f>
        <v>-0.11721199999919918</v>
      </c>
      <c r="M15" s="166">
        <f>G15*8.6/100</f>
        <v>483.73494999999997</v>
      </c>
      <c r="N15" s="224">
        <f t="shared" si="0"/>
        <v>-443.23621</v>
      </c>
      <c r="Q15" s="324"/>
    </row>
    <row r="16" spans="1:14" s="167" customFormat="1" ht="24" customHeight="1" hidden="1">
      <c r="A16" s="138"/>
      <c r="B16" s="153"/>
      <c r="C16" s="138"/>
      <c r="D16" s="499"/>
      <c r="E16" s="499">
        <f>ROUND(E15*100/D15,2)-100</f>
        <v>7.109999999999999</v>
      </c>
      <c r="F16" s="499"/>
      <c r="G16" s="499">
        <f>ROUND(G15*100/D15,2)-100</f>
        <v>7.109999999999999</v>
      </c>
      <c r="H16" s="499"/>
      <c r="I16" s="267">
        <f t="shared" si="2"/>
        <v>100</v>
      </c>
      <c r="J16" s="499">
        <v>7.88</v>
      </c>
      <c r="K16" s="499"/>
      <c r="L16" s="500"/>
      <c r="N16" s="496"/>
    </row>
    <row r="17" spans="1:17" ht="24" customHeight="1">
      <c r="A17" s="154" t="s">
        <v>13</v>
      </c>
      <c r="B17" s="152" t="s">
        <v>17</v>
      </c>
      <c r="C17" s="154" t="s">
        <v>11</v>
      </c>
      <c r="D17" s="267">
        <v>253.696</v>
      </c>
      <c r="E17" s="267">
        <v>265.8480384</v>
      </c>
      <c r="F17" s="267">
        <v>132.628</v>
      </c>
      <c r="G17" s="267">
        <v>266.026</v>
      </c>
      <c r="H17" s="267">
        <f t="shared" si="1"/>
        <v>104.86014757820384</v>
      </c>
      <c r="I17" s="267">
        <f t="shared" si="2"/>
        <v>100.06694109953607</v>
      </c>
      <c r="J17" s="267">
        <f>G17*(1+J18/100)</f>
        <v>278.7686454</v>
      </c>
      <c r="K17" s="267">
        <f>J17/G17*100</f>
        <v>104.79</v>
      </c>
      <c r="L17" s="226">
        <f>E17-G17</f>
        <v>-0.17796160000000327</v>
      </c>
      <c r="M17" s="166">
        <f>G17*3.02/100</f>
        <v>8.0339852</v>
      </c>
      <c r="N17" s="224">
        <f t="shared" si="0"/>
        <v>-12.742645400000015</v>
      </c>
      <c r="Q17" s="324"/>
    </row>
    <row r="18" spans="1:14" s="167" customFormat="1" ht="24" customHeight="1" hidden="1">
      <c r="A18" s="138"/>
      <c r="B18" s="153"/>
      <c r="C18" s="138"/>
      <c r="D18" s="499"/>
      <c r="E18" s="499">
        <f>ROUND(E17*100/D17,2)-100</f>
        <v>4.790000000000006</v>
      </c>
      <c r="F18" s="499"/>
      <c r="G18" s="499">
        <f>ROUND(G17*100/D17,2)-100</f>
        <v>4.859999999999999</v>
      </c>
      <c r="H18" s="499"/>
      <c r="I18" s="267">
        <f t="shared" si="2"/>
        <v>101.46137787056352</v>
      </c>
      <c r="J18" s="499">
        <v>4.79</v>
      </c>
      <c r="K18" s="499"/>
      <c r="L18" s="500"/>
      <c r="N18" s="496"/>
    </row>
    <row r="19" spans="1:13" s="149" customFormat="1" ht="24" customHeight="1">
      <c r="A19" s="169">
        <v>2</v>
      </c>
      <c r="B19" s="223" t="s">
        <v>18</v>
      </c>
      <c r="C19" s="169" t="s">
        <v>11</v>
      </c>
      <c r="D19" s="504">
        <f>D21+D22+D23+D24</f>
        <v>13808.716999999999</v>
      </c>
      <c r="E19" s="504">
        <f>E21+E22+E23+E24</f>
        <v>15181.559000000001</v>
      </c>
      <c r="F19" s="504">
        <f>F21+F22+F23+F24</f>
        <v>7491.728</v>
      </c>
      <c r="G19" s="1085">
        <f>G21+G22+G23+G24</f>
        <v>15750</v>
      </c>
      <c r="H19" s="504">
        <f t="shared" si="1"/>
        <v>114.05838790091795</v>
      </c>
      <c r="I19" s="504">
        <f t="shared" si="2"/>
        <v>103.74428607760242</v>
      </c>
      <c r="J19" s="1085">
        <f>J21+J22+J23+J24</f>
        <v>17857.125182391</v>
      </c>
      <c r="K19" s="504">
        <f>J19/G19*100</f>
        <v>113.37857258660952</v>
      </c>
      <c r="L19" s="224">
        <f>F19/E19*100</f>
        <v>49.347553831592656</v>
      </c>
      <c r="M19" s="225">
        <f>G19*14.28/100</f>
        <v>2249.1</v>
      </c>
    </row>
    <row r="20" spans="1:12" ht="24" customHeight="1">
      <c r="A20" s="154"/>
      <c r="B20" s="153" t="s">
        <v>12</v>
      </c>
      <c r="C20" s="138"/>
      <c r="D20" s="267"/>
      <c r="E20" s="267"/>
      <c r="F20" s="267"/>
      <c r="G20" s="1086"/>
      <c r="H20" s="267"/>
      <c r="I20" s="267"/>
      <c r="J20" s="267"/>
      <c r="K20" s="267"/>
      <c r="L20" s="226" t="e">
        <f aca="true" t="shared" si="3" ref="L20:L25">F20/E20*100</f>
        <v>#DIV/0!</v>
      </c>
    </row>
    <row r="21" spans="1:15" ht="24" customHeight="1">
      <c r="A21" s="154" t="s">
        <v>13</v>
      </c>
      <c r="B21" s="152" t="s">
        <v>14</v>
      </c>
      <c r="C21" s="154" t="s">
        <v>11</v>
      </c>
      <c r="D21" s="267">
        <v>2925.276</v>
      </c>
      <c r="E21" s="267">
        <v>3014.513</v>
      </c>
      <c r="F21" s="267">
        <v>1586.7479903999997</v>
      </c>
      <c r="G21" s="1086">
        <v>3142.989</v>
      </c>
      <c r="H21" s="267">
        <f>G21/D21*100</f>
        <v>107.44247722266206</v>
      </c>
      <c r="I21" s="267">
        <f>G21/E21*100</f>
        <v>104.26191560626874</v>
      </c>
      <c r="J21" s="1086">
        <f>G21*(1+J12/100)*1.06</f>
        <v>3490.8173066520008</v>
      </c>
      <c r="K21" s="267">
        <f>J21/G21*100</f>
        <v>111.06680000000001</v>
      </c>
      <c r="L21" s="226">
        <f t="shared" si="3"/>
        <v>52.63695961503565</v>
      </c>
      <c r="M21" s="166">
        <f>F11/E11*100</f>
        <v>57.1816299913818</v>
      </c>
      <c r="O21" s="193">
        <f>G21*0.181</f>
        <v>568.881009</v>
      </c>
    </row>
    <row r="22" spans="1:15" ht="24" customHeight="1">
      <c r="A22" s="154" t="s">
        <v>13</v>
      </c>
      <c r="B22" s="152" t="s">
        <v>15</v>
      </c>
      <c r="C22" s="154" t="s">
        <v>11</v>
      </c>
      <c r="D22" s="267">
        <v>3103.916</v>
      </c>
      <c r="E22" s="267">
        <v>3483.605</v>
      </c>
      <c r="F22" s="267">
        <v>1723.0974399999998</v>
      </c>
      <c r="G22" s="1086">
        <v>3593.615</v>
      </c>
      <c r="H22" s="267">
        <f t="shared" si="1"/>
        <v>115.77681225909461</v>
      </c>
      <c r="I22" s="267">
        <f>G22/E22*100</f>
        <v>103.15793552943</v>
      </c>
      <c r="J22" s="1086">
        <f>G22*(1+J14/100)*1.05</f>
        <v>4077.046057875</v>
      </c>
      <c r="K22" s="267">
        <f>J22/G22*100</f>
        <v>113.4525</v>
      </c>
      <c r="L22" s="226">
        <f t="shared" si="3"/>
        <v>49.46305450818907</v>
      </c>
      <c r="M22" s="166">
        <f>F13/E13*100</f>
        <v>51.00150446776709</v>
      </c>
      <c r="O22" s="193">
        <f>G22*0.178</f>
        <v>639.66347</v>
      </c>
    </row>
    <row r="23" spans="1:15" ht="24" customHeight="1">
      <c r="A23" s="154" t="s">
        <v>13</v>
      </c>
      <c r="B23" s="152" t="s">
        <v>16</v>
      </c>
      <c r="C23" s="154" t="s">
        <v>11</v>
      </c>
      <c r="D23" s="267">
        <v>7422.195</v>
      </c>
      <c r="E23" s="267">
        <v>8289.124</v>
      </c>
      <c r="F23" s="267">
        <v>4026.0546271999997</v>
      </c>
      <c r="G23" s="1086">
        <v>8601.468</v>
      </c>
      <c r="H23" s="267">
        <f t="shared" si="1"/>
        <v>115.88846695620367</v>
      </c>
      <c r="I23" s="267">
        <f>G23/E23*100</f>
        <v>103.76811831986107</v>
      </c>
      <c r="J23" s="1086">
        <f>G23*(1+J16/100)*1.06</f>
        <v>9836.019499104</v>
      </c>
      <c r="K23" s="267">
        <f>J23/G23*100</f>
        <v>114.35279999999999</v>
      </c>
      <c r="L23" s="226">
        <f t="shared" si="3"/>
        <v>48.57032693925196</v>
      </c>
      <c r="M23" s="166">
        <f>F15/E15*100</f>
        <v>49.164545150234204</v>
      </c>
      <c r="O23" s="193">
        <f>G23*0.1712</f>
        <v>1472.5713216000001</v>
      </c>
    </row>
    <row r="24" spans="1:15" ht="24" customHeight="1">
      <c r="A24" s="154" t="s">
        <v>13</v>
      </c>
      <c r="B24" s="152" t="s">
        <v>17</v>
      </c>
      <c r="C24" s="154" t="s">
        <v>11</v>
      </c>
      <c r="D24" s="267">
        <v>357.33</v>
      </c>
      <c r="E24" s="267">
        <v>394.317</v>
      </c>
      <c r="F24" s="267">
        <v>155.82794239999998</v>
      </c>
      <c r="G24" s="1086">
        <v>411.928</v>
      </c>
      <c r="H24" s="267">
        <f t="shared" si="1"/>
        <v>115.27943357680577</v>
      </c>
      <c r="I24" s="267">
        <f>G24/E24*100</f>
        <v>104.46620358746897</v>
      </c>
      <c r="J24" s="1086">
        <f>G24*(1+J18/100)*1.05</f>
        <v>453.24231876000005</v>
      </c>
      <c r="K24" s="267">
        <f>J24/G24*100</f>
        <v>110.0295</v>
      </c>
      <c r="L24" s="226">
        <f t="shared" si="3"/>
        <v>39.518443891589754</v>
      </c>
      <c r="M24" s="166">
        <f>F17/E17*100</f>
        <v>49.88865097452605</v>
      </c>
      <c r="O24" s="193">
        <f>G24*0.0327</f>
        <v>13.4700456</v>
      </c>
    </row>
    <row r="25" spans="1:13" s="149" customFormat="1" ht="24" customHeight="1">
      <c r="A25" s="169">
        <v>3</v>
      </c>
      <c r="B25" s="223" t="s">
        <v>19</v>
      </c>
      <c r="C25" s="169" t="s">
        <v>20</v>
      </c>
      <c r="D25" s="267">
        <f>D19*1000/'3. XH'!D9/1000</f>
        <v>24.356017165444044</v>
      </c>
      <c r="E25" s="267">
        <f>E19*1000/'3. XH'!E9/1000</f>
        <v>26.366715006469434</v>
      </c>
      <c r="F25" s="267">
        <f>F19*1000/'3. XH'!F9/1000</f>
        <v>12.991631088097277</v>
      </c>
      <c r="G25" s="1086">
        <f>G19*1000/'3. XH'!G9/1000</f>
        <v>27.31254920594182</v>
      </c>
      <c r="H25" s="267">
        <f t="shared" si="1"/>
        <v>112.13881572021742</v>
      </c>
      <c r="I25" s="267">
        <f>G25/E25*100</f>
        <v>103.58722806098642</v>
      </c>
      <c r="J25" s="1086">
        <f>J19*1000/'3. XH'!J9/1000</f>
        <v>30.449942504784783</v>
      </c>
      <c r="K25" s="267">
        <f>J25/G25*100</f>
        <v>111.48700282491546</v>
      </c>
      <c r="L25" s="224">
        <f t="shared" si="3"/>
        <v>49.27284678773826</v>
      </c>
      <c r="M25" s="149">
        <f>F19/E19*100</f>
        <v>49.347553831592656</v>
      </c>
    </row>
    <row r="26" spans="1:15" s="149" customFormat="1" ht="39.75" customHeight="1">
      <c r="A26" s="169">
        <v>4</v>
      </c>
      <c r="B26" s="227" t="s">
        <v>464</v>
      </c>
      <c r="C26" s="169"/>
      <c r="D26" s="267">
        <f>D27+D28+D29+D30</f>
        <v>100.00000000000001</v>
      </c>
      <c r="E26" s="267">
        <f>E27+E28+E29+E30</f>
        <v>100</v>
      </c>
      <c r="F26" s="267">
        <f>F27+F28+F29+F30</f>
        <v>99.99999999999999</v>
      </c>
      <c r="G26" s="267">
        <f>G27+G28+G29+G30</f>
        <v>100</v>
      </c>
      <c r="H26" s="267"/>
      <c r="I26" s="267"/>
      <c r="J26" s="267">
        <f>J27+J28+J29+J30</f>
        <v>100.00000000000001</v>
      </c>
      <c r="K26" s="267"/>
      <c r="L26" s="225">
        <f>D27-G27</f>
        <v>1.2287850619203589</v>
      </c>
      <c r="M26" s="166"/>
      <c r="O26" s="225">
        <f>G19-D19</f>
        <v>1941.2830000000013</v>
      </c>
    </row>
    <row r="27" spans="1:12" ht="24" customHeight="1">
      <c r="A27" s="154" t="s">
        <v>13</v>
      </c>
      <c r="B27" s="152" t="s">
        <v>14</v>
      </c>
      <c r="C27" s="154" t="s">
        <v>21</v>
      </c>
      <c r="D27" s="267">
        <f>D21/$D$19*100</f>
        <v>21.184270776206073</v>
      </c>
      <c r="E27" s="267">
        <f>E21/$E$19*100</f>
        <v>19.856412638517558</v>
      </c>
      <c r="F27" s="267">
        <f>F21/F19*100</f>
        <v>21.179999999999996</v>
      </c>
      <c r="G27" s="1086">
        <f>G21/$G$19*100</f>
        <v>19.955485714285714</v>
      </c>
      <c r="H27" s="267">
        <f>G27-D27</f>
        <v>-1.2287850619203589</v>
      </c>
      <c r="I27" s="267">
        <f>G27-E27</f>
        <v>0.09907307576815683</v>
      </c>
      <c r="J27" s="1086">
        <f>J21/$J$19*100</f>
        <v>19.548596266180144</v>
      </c>
      <c r="K27" s="267">
        <f>J27-G27</f>
        <v>-0.40688944810557004</v>
      </c>
      <c r="L27" s="193">
        <f>G27-J27</f>
        <v>0.40688944810557004</v>
      </c>
    </row>
    <row r="28" spans="1:12" ht="24" customHeight="1">
      <c r="A28" s="154" t="s">
        <v>13</v>
      </c>
      <c r="B28" s="152" t="s">
        <v>15</v>
      </c>
      <c r="C28" s="154" t="s">
        <v>21</v>
      </c>
      <c r="D28" s="267">
        <f>D22/$D$19*100</f>
        <v>22.47794635808671</v>
      </c>
      <c r="E28" s="267">
        <f>E22/$E$19*100</f>
        <v>22.946292933420075</v>
      </c>
      <c r="F28" s="267">
        <f>F22/F19*100</f>
        <v>23</v>
      </c>
      <c r="G28" s="1086">
        <f>G22/$G$19*100</f>
        <v>22.816603174603173</v>
      </c>
      <c r="H28" s="267">
        <f>G28-D28</f>
        <v>0.33865681651646184</v>
      </c>
      <c r="I28" s="267">
        <f>G28-E28</f>
        <v>-0.1296897588169017</v>
      </c>
      <c r="J28" s="1086">
        <f>J22/$J$19*100</f>
        <v>22.831480522382154</v>
      </c>
      <c r="K28" s="267">
        <f>J28-G28</f>
        <v>0.014877347778980976</v>
      </c>
      <c r="L28" s="193">
        <f>G28-J28</f>
        <v>-0.014877347778980976</v>
      </c>
    </row>
    <row r="29" spans="1:12" ht="24" customHeight="1">
      <c r="A29" s="154" t="s">
        <v>13</v>
      </c>
      <c r="B29" s="152" t="s">
        <v>16</v>
      </c>
      <c r="C29" s="154" t="s">
        <v>21</v>
      </c>
      <c r="D29" s="267">
        <f>D23/$D$19*100</f>
        <v>53.75006961182564</v>
      </c>
      <c r="E29" s="267">
        <f>E23/$E$19*100</f>
        <v>54.5999524818235</v>
      </c>
      <c r="F29" s="267">
        <f>F23/F19*100</f>
        <v>53.74</v>
      </c>
      <c r="G29" s="1086">
        <f>G23/$G$19*100</f>
        <v>54.612495238095235</v>
      </c>
      <c r="H29" s="267">
        <f>G29-D29</f>
        <v>0.862425626269598</v>
      </c>
      <c r="I29" s="267">
        <f>G29-E29</f>
        <v>0.012542756271734845</v>
      </c>
      <c r="J29" s="1086">
        <f>J23/$J$19*100</f>
        <v>55.08176371414672</v>
      </c>
      <c r="K29" s="267">
        <f>J29-G29</f>
        <v>0.46926847605148225</v>
      </c>
      <c r="L29" s="193">
        <f>G29-J29</f>
        <v>-0.46926847605148225</v>
      </c>
    </row>
    <row r="30" spans="1:12" ht="24" customHeight="1">
      <c r="A30" s="154" t="s">
        <v>13</v>
      </c>
      <c r="B30" s="152" t="s">
        <v>17</v>
      </c>
      <c r="C30" s="154" t="s">
        <v>11</v>
      </c>
      <c r="D30" s="267">
        <f>D24/$D$19*100</f>
        <v>2.587713253881588</v>
      </c>
      <c r="E30" s="267">
        <f>E24/$E$19*100</f>
        <v>2.5973419462388545</v>
      </c>
      <c r="F30" s="267">
        <v>2.08</v>
      </c>
      <c r="G30" s="1086">
        <f>G24/$G$19*100</f>
        <v>2.615415873015873</v>
      </c>
      <c r="H30" s="267">
        <f>G30-D30</f>
        <v>0.027702619134284845</v>
      </c>
      <c r="I30" s="267">
        <f>G30-E30</f>
        <v>0.018073926777018468</v>
      </c>
      <c r="J30" s="1086">
        <f>J24/$J$19*100</f>
        <v>2.5381594972910007</v>
      </c>
      <c r="K30" s="267">
        <f>J30-G30</f>
        <v>-0.07725637572487232</v>
      </c>
      <c r="L30" s="193">
        <f>G30-J30</f>
        <v>0.07725637572487232</v>
      </c>
    </row>
    <row r="31" spans="1:19" s="149" customFormat="1" ht="39" customHeight="1">
      <c r="A31" s="169">
        <v>5</v>
      </c>
      <c r="B31" s="227" t="s">
        <v>22</v>
      </c>
      <c r="C31" s="169" t="s">
        <v>11</v>
      </c>
      <c r="D31" s="803">
        <v>9525.202</v>
      </c>
      <c r="E31" s="803">
        <v>11100</v>
      </c>
      <c r="F31" s="803">
        <v>5222.15</v>
      </c>
      <c r="G31" s="803">
        <v>11142.034</v>
      </c>
      <c r="H31" s="803">
        <f>+G31/D31*100</f>
        <v>116.97425419429426</v>
      </c>
      <c r="I31" s="991">
        <f>+G31/E31*100</f>
        <v>100.37868468468467</v>
      </c>
      <c r="J31" s="803">
        <v>12760</v>
      </c>
      <c r="K31" s="803">
        <f>+J31/G31*100</f>
        <v>114.52128040535507</v>
      </c>
      <c r="L31" s="501">
        <f>+G31/E31</f>
        <v>1.0037868468468467</v>
      </c>
      <c r="Q31" s="502">
        <f>Q32+Q34</f>
        <v>41.25</v>
      </c>
      <c r="S31" s="503">
        <f>E31*3/4</f>
        <v>8325</v>
      </c>
    </row>
    <row r="32" spans="1:19" s="149" customFormat="1" ht="24" customHeight="1">
      <c r="A32" s="169">
        <v>6</v>
      </c>
      <c r="B32" s="227" t="s">
        <v>23</v>
      </c>
      <c r="C32" s="169" t="s">
        <v>24</v>
      </c>
      <c r="D32" s="805">
        <v>39</v>
      </c>
      <c r="E32" s="805">
        <v>44</v>
      </c>
      <c r="F32" s="805">
        <v>19.8</v>
      </c>
      <c r="G32" s="805">
        <v>44</v>
      </c>
      <c r="H32" s="803">
        <f>+G32/D32*100</f>
        <v>112.82051282051282</v>
      </c>
      <c r="I32" s="804">
        <f>+G32/E32*100</f>
        <v>100</v>
      </c>
      <c r="J32" s="805">
        <v>50</v>
      </c>
      <c r="K32" s="803">
        <f>+J32/G32*100</f>
        <v>113.63636363636364</v>
      </c>
      <c r="L32" s="501">
        <f>+G32/E32</f>
        <v>1</v>
      </c>
      <c r="Q32" s="502">
        <f>D32*3/4</f>
        <v>29.25</v>
      </c>
      <c r="S32" s="225">
        <f>E32*3/4</f>
        <v>33</v>
      </c>
    </row>
    <row r="33" spans="1:11" ht="24" customHeight="1">
      <c r="A33" s="154"/>
      <c r="B33" s="153" t="s">
        <v>25</v>
      </c>
      <c r="C33" s="138" t="s">
        <v>24</v>
      </c>
      <c r="D33" s="806">
        <v>17.46</v>
      </c>
      <c r="E33" s="806">
        <v>21.6</v>
      </c>
      <c r="F33" s="806">
        <v>8.5</v>
      </c>
      <c r="G33" s="806">
        <v>21.6</v>
      </c>
      <c r="H33" s="803">
        <f>+G33/D33*100</f>
        <v>123.71134020618557</v>
      </c>
      <c r="I33" s="804">
        <f>+G33/E33*100</f>
        <v>100</v>
      </c>
      <c r="J33" s="806">
        <v>27</v>
      </c>
      <c r="K33" s="803">
        <f>+J33/G33*100</f>
        <v>125</v>
      </c>
    </row>
    <row r="34" spans="1:17" s="149" customFormat="1" ht="24" customHeight="1">
      <c r="A34" s="169">
        <v>7</v>
      </c>
      <c r="B34" s="227" t="s">
        <v>26</v>
      </c>
      <c r="C34" s="169" t="s">
        <v>24</v>
      </c>
      <c r="D34" s="805">
        <v>16</v>
      </c>
      <c r="E34" s="805">
        <v>23</v>
      </c>
      <c r="F34" s="805">
        <v>11</v>
      </c>
      <c r="G34" s="805">
        <v>23</v>
      </c>
      <c r="H34" s="803">
        <f>+G34/D34*100</f>
        <v>143.75</v>
      </c>
      <c r="I34" s="991">
        <f>+G34/E34*100</f>
        <v>100</v>
      </c>
      <c r="J34" s="805">
        <v>33</v>
      </c>
      <c r="K34" s="803">
        <f>+J34/G34*100</f>
        <v>143.47826086956522</v>
      </c>
      <c r="L34" s="501">
        <f>+G34/E34</f>
        <v>1</v>
      </c>
      <c r="Q34" s="502">
        <f>D34*3/4</f>
        <v>12</v>
      </c>
    </row>
    <row r="35" spans="1:19" s="149" customFormat="1" ht="39" customHeight="1">
      <c r="A35" s="169">
        <v>8</v>
      </c>
      <c r="B35" s="227" t="s">
        <v>27</v>
      </c>
      <c r="C35" s="169" t="s">
        <v>11</v>
      </c>
      <c r="D35" s="682">
        <v>1123.55</v>
      </c>
      <c r="E35" s="682">
        <v>1078.09</v>
      </c>
      <c r="F35" s="682">
        <v>490.6</v>
      </c>
      <c r="G35" s="1293">
        <v>1144.49</v>
      </c>
      <c r="H35" s="682">
        <f>G35/D35*100</f>
        <v>101.863735481287</v>
      </c>
      <c r="I35" s="682">
        <f>G35/E35*100</f>
        <v>106.1590405253736</v>
      </c>
      <c r="J35" s="1011">
        <v>1196.397</v>
      </c>
      <c r="K35" s="682">
        <f>J35/G35*100</f>
        <v>104.53538257215003</v>
      </c>
      <c r="M35" s="225">
        <f>E35+E45</f>
        <v>9235.874</v>
      </c>
      <c r="O35" s="225">
        <f>J45+J35</f>
        <v>9325.347</v>
      </c>
      <c r="S35" s="225">
        <f>E35*3/4</f>
        <v>808.5674999999999</v>
      </c>
    </row>
    <row r="36" spans="1:11" ht="24" customHeight="1">
      <c r="A36" s="154"/>
      <c r="B36" s="153" t="s">
        <v>12</v>
      </c>
      <c r="C36" s="154"/>
      <c r="D36" s="683"/>
      <c r="E36" s="683"/>
      <c r="F36" s="683"/>
      <c r="G36" s="683"/>
      <c r="H36" s="683"/>
      <c r="I36" s="683"/>
      <c r="J36" s="266"/>
      <c r="K36" s="683"/>
    </row>
    <row r="37" spans="1:12" ht="24" customHeight="1">
      <c r="A37" s="154" t="s">
        <v>13</v>
      </c>
      <c r="B37" s="152" t="s">
        <v>28</v>
      </c>
      <c r="C37" s="154" t="s">
        <v>11</v>
      </c>
      <c r="D37" s="683">
        <v>16.07</v>
      </c>
      <c r="E37" s="683">
        <v>9</v>
      </c>
      <c r="F37" s="683">
        <v>4</v>
      </c>
      <c r="G37" s="1292">
        <v>14</v>
      </c>
      <c r="H37" s="683">
        <f>G37/D37*100</f>
        <v>87.11885500933417</v>
      </c>
      <c r="I37" s="683">
        <f>G37/E37*100</f>
        <v>155.55555555555557</v>
      </c>
      <c r="J37" s="684">
        <v>9</v>
      </c>
      <c r="K37" s="683">
        <f>J37/G37*100</f>
        <v>64.28571428571429</v>
      </c>
      <c r="L37" s="193">
        <f>E37-D37</f>
        <v>-7.07</v>
      </c>
    </row>
    <row r="38" spans="1:17" ht="24" customHeight="1">
      <c r="A38" s="154" t="s">
        <v>13</v>
      </c>
      <c r="B38" s="152" t="s">
        <v>29</v>
      </c>
      <c r="C38" s="154" t="s">
        <v>11</v>
      </c>
      <c r="D38" s="683">
        <v>1073.94</v>
      </c>
      <c r="E38" s="683">
        <v>1030</v>
      </c>
      <c r="F38" s="683">
        <v>486.6</v>
      </c>
      <c r="G38" s="1292">
        <v>1091.4</v>
      </c>
      <c r="H38" s="683">
        <f>G38/D38*100</f>
        <v>101.62578915023187</v>
      </c>
      <c r="I38" s="683">
        <f>G38/E38*100</f>
        <v>105.96116504854369</v>
      </c>
      <c r="J38" s="685">
        <v>1150</v>
      </c>
      <c r="K38" s="683">
        <f>J38/G38*100</f>
        <v>105.36925050393988</v>
      </c>
      <c r="L38" s="193">
        <f>E38-D38</f>
        <v>-43.940000000000055</v>
      </c>
      <c r="Q38" s="324">
        <f>J38-G38</f>
        <v>58.59999999999991</v>
      </c>
    </row>
    <row r="39" spans="1:17" ht="24" customHeight="1">
      <c r="A39" s="168" t="s">
        <v>13</v>
      </c>
      <c r="B39" s="152" t="s">
        <v>524</v>
      </c>
      <c r="C39" s="154"/>
      <c r="D39" s="683">
        <v>19.32</v>
      </c>
      <c r="E39" s="683">
        <v>39.09</v>
      </c>
      <c r="F39" s="683"/>
      <c r="G39" s="683">
        <v>39.094</v>
      </c>
      <c r="H39" s="683">
        <f>G39/D39*100</f>
        <v>202.34989648033127</v>
      </c>
      <c r="I39" s="683">
        <f>G39/E39*100</f>
        <v>100.01023279611154</v>
      </c>
      <c r="J39" s="268">
        <v>37.397</v>
      </c>
      <c r="K39" s="267"/>
      <c r="L39" s="193"/>
      <c r="Q39" s="324"/>
    </row>
    <row r="40" spans="1:11" ht="24" customHeight="1">
      <c r="A40" s="154"/>
      <c r="B40" s="153" t="s">
        <v>12</v>
      </c>
      <c r="C40" s="154"/>
      <c r="D40" s="267"/>
      <c r="E40" s="267"/>
      <c r="F40" s="267"/>
      <c r="G40" s="804"/>
      <c r="H40" s="267"/>
      <c r="I40" s="267"/>
      <c r="J40" s="268"/>
      <c r="K40" s="267"/>
    </row>
    <row r="41" spans="1:12" ht="24" customHeight="1">
      <c r="A41" s="154"/>
      <c r="B41" s="152" t="s">
        <v>30</v>
      </c>
      <c r="C41" s="154" t="s">
        <v>11</v>
      </c>
      <c r="D41" s="683">
        <v>224.18</v>
      </c>
      <c r="E41" s="683">
        <v>206</v>
      </c>
      <c r="F41" s="683">
        <v>86.66</v>
      </c>
      <c r="G41" s="683">
        <v>221.3</v>
      </c>
      <c r="H41" s="683">
        <f aca="true" t="shared" si="4" ref="H41:H46">G41/D41*100</f>
        <v>98.71531804799714</v>
      </c>
      <c r="I41" s="683">
        <f aca="true" t="shared" si="5" ref="I41:I46">G41/E41*100</f>
        <v>107.42718446601943</v>
      </c>
      <c r="J41" s="684">
        <v>217</v>
      </c>
      <c r="K41" s="683">
        <f aca="true" t="shared" si="6" ref="K41:K46">J41/G41*100</f>
        <v>98.05693628558517</v>
      </c>
      <c r="L41" s="193">
        <f aca="true" t="shared" si="7" ref="L41:L46">E41-D41</f>
        <v>-18.180000000000007</v>
      </c>
    </row>
    <row r="42" spans="1:12" ht="24" customHeight="1">
      <c r="A42" s="154"/>
      <c r="B42" s="152" t="s">
        <v>31</v>
      </c>
      <c r="C42" s="154" t="s">
        <v>11</v>
      </c>
      <c r="D42" s="683">
        <v>23.48</v>
      </c>
      <c r="E42" s="683">
        <v>22</v>
      </c>
      <c r="F42" s="683">
        <v>14</v>
      </c>
      <c r="G42" s="683">
        <v>22</v>
      </c>
      <c r="H42" s="683">
        <f t="shared" si="4"/>
        <v>93.69676320272572</v>
      </c>
      <c r="I42" s="683">
        <f t="shared" si="5"/>
        <v>100</v>
      </c>
      <c r="J42" s="684">
        <v>20</v>
      </c>
      <c r="K42" s="683">
        <f t="shared" si="6"/>
        <v>90.9090909090909</v>
      </c>
      <c r="L42" s="193">
        <f t="shared" si="7"/>
        <v>-1.4800000000000004</v>
      </c>
    </row>
    <row r="43" spans="1:13" ht="24" customHeight="1">
      <c r="A43" s="154"/>
      <c r="B43" s="152" t="s">
        <v>32</v>
      </c>
      <c r="C43" s="154" t="s">
        <v>11</v>
      </c>
      <c r="D43" s="683">
        <v>336.85</v>
      </c>
      <c r="E43" s="683">
        <v>364.3</v>
      </c>
      <c r="F43" s="683">
        <v>138.38</v>
      </c>
      <c r="G43" s="1292">
        <v>349.3</v>
      </c>
      <c r="H43" s="683">
        <f t="shared" si="4"/>
        <v>103.696007124833</v>
      </c>
      <c r="I43" s="683">
        <f t="shared" si="5"/>
        <v>95.88251441119957</v>
      </c>
      <c r="J43" s="684">
        <v>383</v>
      </c>
      <c r="K43" s="683">
        <f t="shared" si="6"/>
        <v>109.64786716289723</v>
      </c>
      <c r="L43" s="193">
        <f t="shared" si="7"/>
        <v>27.44999999999999</v>
      </c>
      <c r="M43" s="193">
        <f>L43+H43</f>
        <v>131.14600712483298</v>
      </c>
    </row>
    <row r="44" spans="1:12" ht="24" customHeight="1">
      <c r="A44" s="154"/>
      <c r="B44" s="152" t="s">
        <v>33</v>
      </c>
      <c r="C44" s="154" t="s">
        <v>11</v>
      </c>
      <c r="D44" s="683">
        <v>0.16</v>
      </c>
      <c r="E44" s="683">
        <v>0.1</v>
      </c>
      <c r="F44" s="683">
        <v>0.16</v>
      </c>
      <c r="G44" s="683">
        <v>0.25</v>
      </c>
      <c r="H44" s="683">
        <f t="shared" si="4"/>
        <v>156.25</v>
      </c>
      <c r="I44" s="683">
        <f t="shared" si="5"/>
        <v>250</v>
      </c>
      <c r="J44" s="684">
        <v>0.2</v>
      </c>
      <c r="K44" s="683">
        <f t="shared" si="6"/>
        <v>80</v>
      </c>
      <c r="L44" s="193">
        <f t="shared" si="7"/>
        <v>-0.06</v>
      </c>
    </row>
    <row r="45" spans="1:15" s="149" customFormat="1" ht="48.75" customHeight="1">
      <c r="A45" s="169">
        <v>9</v>
      </c>
      <c r="B45" s="227" t="s">
        <v>34</v>
      </c>
      <c r="C45" s="169" t="s">
        <v>11</v>
      </c>
      <c r="D45" s="682">
        <v>8035.04</v>
      </c>
      <c r="E45" s="682">
        <v>8157.784</v>
      </c>
      <c r="F45" s="682">
        <f>4378417.6/1000</f>
        <v>4378.4176</v>
      </c>
      <c r="G45" s="1294">
        <v>8459.993</v>
      </c>
      <c r="H45" s="682">
        <f t="shared" si="4"/>
        <v>105.288747784703</v>
      </c>
      <c r="I45" s="682">
        <f t="shared" si="5"/>
        <v>103.70454770560242</v>
      </c>
      <c r="J45" s="686">
        <v>8128.95</v>
      </c>
      <c r="K45" s="682">
        <f t="shared" si="6"/>
        <v>96.08695893720007</v>
      </c>
      <c r="L45" s="225">
        <f t="shared" si="7"/>
        <v>122.74399999999969</v>
      </c>
      <c r="M45" s="225">
        <f>L45+H45</f>
        <v>228.03274778470268</v>
      </c>
      <c r="O45" s="225">
        <f>E48+E55</f>
        <v>8508.955</v>
      </c>
    </row>
    <row r="46" spans="1:15" s="149" customFormat="1" ht="24.75" customHeight="1">
      <c r="A46" s="1010">
        <v>10</v>
      </c>
      <c r="B46" s="227" t="s">
        <v>35</v>
      </c>
      <c r="C46" s="169" t="s">
        <v>11</v>
      </c>
      <c r="D46" s="682">
        <v>10214.17</v>
      </c>
      <c r="E46" s="682">
        <v>9061.427</v>
      </c>
      <c r="F46" s="682">
        <v>4123.235</v>
      </c>
      <c r="G46" s="1294">
        <v>9359.427</v>
      </c>
      <c r="H46" s="682">
        <f t="shared" si="4"/>
        <v>91.63179191260767</v>
      </c>
      <c r="I46" s="682">
        <f t="shared" si="5"/>
        <v>103.2886652400334</v>
      </c>
      <c r="J46" s="505">
        <v>9116.24</v>
      </c>
      <c r="K46" s="682">
        <f t="shared" si="6"/>
        <v>97.40168922734266</v>
      </c>
      <c r="L46" s="225">
        <f t="shared" si="7"/>
        <v>-1152.7430000000004</v>
      </c>
      <c r="O46" s="225">
        <f>E46-O45</f>
        <v>552.4719999999998</v>
      </c>
    </row>
    <row r="47" spans="1:15" s="149" customFormat="1" ht="24.75" customHeight="1">
      <c r="A47" s="1010"/>
      <c r="B47" s="227" t="s">
        <v>12</v>
      </c>
      <c r="C47" s="169"/>
      <c r="D47" s="682"/>
      <c r="E47" s="682"/>
      <c r="F47" s="682"/>
      <c r="G47" s="1294"/>
      <c r="H47" s="682"/>
      <c r="I47" s="682"/>
      <c r="J47" s="505"/>
      <c r="K47" s="682"/>
      <c r="L47" s="225"/>
      <c r="O47" s="225"/>
    </row>
    <row r="48" spans="1:15" ht="24.75" customHeight="1">
      <c r="A48" s="154" t="s">
        <v>36</v>
      </c>
      <c r="B48" s="152" t="s">
        <v>37</v>
      </c>
      <c r="C48" s="154" t="s">
        <v>11</v>
      </c>
      <c r="D48" s="683">
        <f>D49+D53</f>
        <v>1995.4</v>
      </c>
      <c r="E48" s="683">
        <f>E49+E53</f>
        <v>2350.6059999999998</v>
      </c>
      <c r="F48" s="683">
        <v>314.27</v>
      </c>
      <c r="G48" s="683">
        <f>G49+G53</f>
        <v>2164.16</v>
      </c>
      <c r="H48" s="683">
        <f aca="true" t="shared" si="8" ref="H48:H55">G48/D48*100</f>
        <v>108.45745213992181</v>
      </c>
      <c r="I48" s="683">
        <f aca="true" t="shared" si="9" ref="I48:I55">G48/E48*100</f>
        <v>92.06817305835176</v>
      </c>
      <c r="J48" s="683">
        <f>J49+J53</f>
        <v>1929.8899999999999</v>
      </c>
      <c r="K48" s="683">
        <f aca="true" t="shared" si="10" ref="K48:K55">J48/G48*100</f>
        <v>89.17501478633743</v>
      </c>
      <c r="L48" s="193">
        <f>E48-D48</f>
        <v>355.2059999999997</v>
      </c>
      <c r="O48" s="193">
        <f>E49+E53</f>
        <v>2350.6059999999998</v>
      </c>
    </row>
    <row r="49" spans="1:12" ht="24.75" customHeight="1">
      <c r="A49" s="154" t="s">
        <v>13</v>
      </c>
      <c r="B49" s="152" t="s">
        <v>38</v>
      </c>
      <c r="C49" s="154" t="s">
        <v>11</v>
      </c>
      <c r="D49" s="683">
        <v>667.66</v>
      </c>
      <c r="E49" s="683">
        <v>706.136</v>
      </c>
      <c r="F49" s="683">
        <v>314.27</v>
      </c>
      <c r="G49" s="683">
        <v>822.73</v>
      </c>
      <c r="H49" s="683">
        <f t="shared" si="8"/>
        <v>123.22589341880598</v>
      </c>
      <c r="I49" s="683">
        <f t="shared" si="9"/>
        <v>116.5115501829676</v>
      </c>
      <c r="J49" s="266">
        <v>739.12</v>
      </c>
      <c r="K49" s="683">
        <f t="shared" si="10"/>
        <v>89.8374922514069</v>
      </c>
      <c r="L49" s="193">
        <f>E49-D49</f>
        <v>38.476</v>
      </c>
    </row>
    <row r="50" spans="1:11" ht="24.75" customHeight="1">
      <c r="A50" s="154"/>
      <c r="B50" s="153" t="s">
        <v>12</v>
      </c>
      <c r="C50" s="154"/>
      <c r="D50" s="683"/>
      <c r="E50" s="683"/>
      <c r="F50" s="683"/>
      <c r="G50" s="683"/>
      <c r="H50" s="683"/>
      <c r="I50" s="683"/>
      <c r="J50" s="266"/>
      <c r="K50" s="683"/>
    </row>
    <row r="51" spans="1:15" ht="24.75" customHeight="1">
      <c r="A51" s="154"/>
      <c r="B51" s="194" t="s">
        <v>39</v>
      </c>
      <c r="C51" s="154" t="s">
        <v>11</v>
      </c>
      <c r="D51" s="683">
        <v>87.69</v>
      </c>
      <c r="E51" s="683">
        <v>79.2</v>
      </c>
      <c r="F51" s="683">
        <v>7.9</v>
      </c>
      <c r="G51" s="1292">
        <v>164.695</v>
      </c>
      <c r="H51" s="683">
        <f t="shared" si="8"/>
        <v>187.81503022009352</v>
      </c>
      <c r="I51" s="683">
        <f t="shared" si="9"/>
        <v>207.94823232323233</v>
      </c>
      <c r="J51" s="266">
        <v>94.45</v>
      </c>
      <c r="K51" s="683">
        <f t="shared" si="10"/>
        <v>57.34843194996812</v>
      </c>
      <c r="L51" s="193">
        <f>E48+E55</f>
        <v>8508.955</v>
      </c>
      <c r="M51" s="193">
        <f>D48+D55</f>
        <v>8235.76</v>
      </c>
      <c r="O51" s="193">
        <f>J48+J55</f>
        <v>8530.57</v>
      </c>
    </row>
    <row r="52" spans="1:15" s="167" customFormat="1" ht="24.75" customHeight="1">
      <c r="A52" s="138"/>
      <c r="B52" s="194" t="s">
        <v>40</v>
      </c>
      <c r="C52" s="138" t="s">
        <v>11</v>
      </c>
      <c r="D52" s="683">
        <v>13.49</v>
      </c>
      <c r="E52" s="683">
        <v>20</v>
      </c>
      <c r="F52" s="683">
        <v>10</v>
      </c>
      <c r="G52" s="683">
        <v>26.23</v>
      </c>
      <c r="H52" s="683">
        <f t="shared" si="8"/>
        <v>194.4403261675315</v>
      </c>
      <c r="I52" s="683">
        <f t="shared" si="9"/>
        <v>131.15</v>
      </c>
      <c r="J52" s="266">
        <v>25</v>
      </c>
      <c r="K52" s="683">
        <f t="shared" si="10"/>
        <v>95.31071292413267</v>
      </c>
      <c r="L52" s="195">
        <f>E46-L51</f>
        <v>552.4719999999998</v>
      </c>
      <c r="M52" s="193">
        <f>J48+J55</f>
        <v>8530.57</v>
      </c>
      <c r="N52" s="166"/>
      <c r="O52" s="195">
        <f>O51+208.66</f>
        <v>8739.23</v>
      </c>
    </row>
    <row r="53" spans="1:14" ht="50.25" customHeight="1">
      <c r="A53" s="154" t="s">
        <v>13</v>
      </c>
      <c r="B53" s="152" t="s">
        <v>467</v>
      </c>
      <c r="C53" s="154" t="s">
        <v>11</v>
      </c>
      <c r="D53" s="683">
        <f>410.6+917.14</f>
        <v>1327.74</v>
      </c>
      <c r="E53" s="683">
        <v>1644.47</v>
      </c>
      <c r="F53" s="683">
        <v>353.29</v>
      </c>
      <c r="G53" s="683">
        <v>1341.43</v>
      </c>
      <c r="H53" s="683">
        <f t="shared" si="8"/>
        <v>101.03107536113998</v>
      </c>
      <c r="I53" s="683">
        <f t="shared" si="9"/>
        <v>81.57217827020256</v>
      </c>
      <c r="J53" s="266">
        <v>1190.77</v>
      </c>
      <c r="K53" s="683">
        <f t="shared" si="10"/>
        <v>88.76870205676032</v>
      </c>
      <c r="L53" s="193">
        <f>D48+D55</f>
        <v>8235.76</v>
      </c>
      <c r="M53" s="195">
        <f>D46-L53</f>
        <v>1978.4099999999999</v>
      </c>
      <c r="N53" s="167"/>
    </row>
    <row r="54" spans="1:14" ht="24.75" customHeight="1">
      <c r="A54" s="154" t="s">
        <v>13</v>
      </c>
      <c r="B54" s="152" t="s">
        <v>473</v>
      </c>
      <c r="C54" s="154" t="s">
        <v>11</v>
      </c>
      <c r="D54" s="683"/>
      <c r="E54" s="683"/>
      <c r="F54" s="683"/>
      <c r="G54" s="683"/>
      <c r="H54" s="683"/>
      <c r="I54" s="683"/>
      <c r="J54" s="266"/>
      <c r="K54" s="683"/>
      <c r="M54" s="195">
        <f>E46-L51</f>
        <v>552.4719999999998</v>
      </c>
      <c r="N54" s="167"/>
    </row>
    <row r="55" spans="1:17" ht="24.75" customHeight="1">
      <c r="A55" s="154" t="s">
        <v>41</v>
      </c>
      <c r="B55" s="152" t="s">
        <v>42</v>
      </c>
      <c r="C55" s="154" t="s">
        <v>11</v>
      </c>
      <c r="D55" s="683">
        <v>6240.36</v>
      </c>
      <c r="E55" s="683">
        <v>6158.349</v>
      </c>
      <c r="F55" s="683">
        <v>3117.721</v>
      </c>
      <c r="G55" s="1292">
        <v>6480.905</v>
      </c>
      <c r="H55" s="683">
        <f t="shared" si="8"/>
        <v>103.85466543596844</v>
      </c>
      <c r="I55" s="683">
        <f t="shared" si="9"/>
        <v>105.2377025076039</v>
      </c>
      <c r="J55" s="683">
        <v>6600.68</v>
      </c>
      <c r="K55" s="683">
        <f t="shared" si="10"/>
        <v>101.84812152006548</v>
      </c>
      <c r="M55" s="167"/>
      <c r="N55" s="167"/>
      <c r="Q55" s="324"/>
    </row>
    <row r="56" spans="1:17" s="149" customFormat="1" ht="24.75" customHeight="1">
      <c r="A56" s="169">
        <v>11</v>
      </c>
      <c r="B56" s="227" t="s">
        <v>43</v>
      </c>
      <c r="C56" s="169" t="s">
        <v>11</v>
      </c>
      <c r="D56" s="504">
        <f>D57+D58+D61</f>
        <v>8172.866</v>
      </c>
      <c r="E56" s="504">
        <f>E57+E58+E61</f>
        <v>10145.9492</v>
      </c>
      <c r="F56" s="504">
        <f>F57+F58+F61</f>
        <v>3855.218</v>
      </c>
      <c r="G56" s="504">
        <f>G57+G58+G61</f>
        <v>10237.744</v>
      </c>
      <c r="H56" s="504">
        <f aca="true" t="shared" si="11" ref="H56:H61">G56/D56*100</f>
        <v>125.26504166347523</v>
      </c>
      <c r="I56" s="504">
        <f aca="true" t="shared" si="12" ref="I56:I61">G56/E56*100</f>
        <v>100.90474334328425</v>
      </c>
      <c r="J56" s="1085">
        <f>J57+J58+J61</f>
        <v>11838.878</v>
      </c>
      <c r="K56" s="504">
        <f>J56/G56*100</f>
        <v>115.63951980045604</v>
      </c>
      <c r="L56" s="149">
        <f>E56/D56*100</f>
        <v>124.14187630141005</v>
      </c>
      <c r="Q56" s="225">
        <f>E56*3/4</f>
        <v>7609.461899999999</v>
      </c>
    </row>
    <row r="57" spans="1:17" ht="24.75" customHeight="1">
      <c r="A57" s="154" t="s">
        <v>13</v>
      </c>
      <c r="B57" s="152" t="s">
        <v>44</v>
      </c>
      <c r="C57" s="154" t="s">
        <v>11</v>
      </c>
      <c r="D57" s="267">
        <v>2464.436</v>
      </c>
      <c r="E57" s="267">
        <v>2624.2491999999997</v>
      </c>
      <c r="F57" s="267">
        <v>928.588</v>
      </c>
      <c r="G57" s="804">
        <v>2624.25</v>
      </c>
      <c r="H57" s="267">
        <f t="shared" si="11"/>
        <v>106.48481031765482</v>
      </c>
      <c r="I57" s="267">
        <f t="shared" si="12"/>
        <v>100.00003048490976</v>
      </c>
      <c r="J57" s="1087">
        <v>2939.1600000000003</v>
      </c>
      <c r="K57" s="267">
        <f>J57/G57*100</f>
        <v>112.00000000000001</v>
      </c>
      <c r="Q57" s="193">
        <f>E57*3/4</f>
        <v>1968.1868999999997</v>
      </c>
    </row>
    <row r="58" spans="1:18" ht="24.75" customHeight="1">
      <c r="A58" s="154" t="s">
        <v>13</v>
      </c>
      <c r="B58" s="152" t="s">
        <v>45</v>
      </c>
      <c r="C58" s="154" t="s">
        <v>11</v>
      </c>
      <c r="D58" s="267">
        <f>D59+D60</f>
        <v>5638.43</v>
      </c>
      <c r="E58" s="267">
        <f>E59+E60</f>
        <v>7453.7</v>
      </c>
      <c r="F58" s="267">
        <f>F59+F60</f>
        <v>2923.68</v>
      </c>
      <c r="G58" s="267">
        <f>G59+G60</f>
        <v>7610.844</v>
      </c>
      <c r="H58" s="267">
        <f t="shared" si="11"/>
        <v>134.9816172232341</v>
      </c>
      <c r="I58" s="267">
        <f t="shared" si="12"/>
        <v>102.10826837677931</v>
      </c>
      <c r="J58" s="1086">
        <f>J59+J60</f>
        <v>8831.718</v>
      </c>
      <c r="K58" s="267">
        <f>J58/G58*100</f>
        <v>116.0412432576466</v>
      </c>
      <c r="Q58" s="193">
        <f>E58*3/4</f>
        <v>5590.275</v>
      </c>
      <c r="R58" s="166">
        <f>120*3/4</f>
        <v>90</v>
      </c>
    </row>
    <row r="59" spans="1:17" s="167" customFormat="1" ht="24.75" customHeight="1">
      <c r="A59" s="138" t="s">
        <v>486</v>
      </c>
      <c r="B59" s="153" t="s">
        <v>522</v>
      </c>
      <c r="C59" s="138"/>
      <c r="D59" s="499">
        <v>2309.43</v>
      </c>
      <c r="E59" s="499">
        <v>2272.8999999999996</v>
      </c>
      <c r="F59" s="499">
        <v>963.4099999999999</v>
      </c>
      <c r="G59" s="1012">
        <f>2514.544</f>
        <v>2514.544</v>
      </c>
      <c r="H59" s="499">
        <f t="shared" si="11"/>
        <v>108.88158549945224</v>
      </c>
      <c r="I59" s="267">
        <f t="shared" si="12"/>
        <v>110.63152800387172</v>
      </c>
      <c r="J59" s="1088">
        <v>2970.973</v>
      </c>
      <c r="K59" s="499">
        <f>J59/G59*100</f>
        <v>118.15156147595746</v>
      </c>
      <c r="Q59" s="195">
        <f>G60*(1+20%)</f>
        <v>6115.56</v>
      </c>
    </row>
    <row r="60" spans="1:17" s="167" customFormat="1" ht="24.75" customHeight="1">
      <c r="A60" s="138" t="s">
        <v>486</v>
      </c>
      <c r="B60" s="194" t="s">
        <v>495</v>
      </c>
      <c r="C60" s="138"/>
      <c r="D60" s="499">
        <v>3329</v>
      </c>
      <c r="E60" s="499">
        <v>5180.8</v>
      </c>
      <c r="F60" s="499">
        <v>1960.27</v>
      </c>
      <c r="G60" s="1012">
        <v>5096.3</v>
      </c>
      <c r="H60" s="499">
        <f t="shared" si="11"/>
        <v>153.08801441874436</v>
      </c>
      <c r="I60" s="267">
        <f t="shared" si="12"/>
        <v>98.36897776405188</v>
      </c>
      <c r="J60" s="1089">
        <v>5860.745</v>
      </c>
      <c r="K60" s="499">
        <f>J60/G60*100</f>
        <v>114.99999999999999</v>
      </c>
      <c r="Q60" s="195">
        <f>J60/G60*100-100</f>
        <v>14.999999999999986</v>
      </c>
    </row>
    <row r="61" spans="1:17" ht="24.75" customHeight="1">
      <c r="A61" s="154" t="s">
        <v>13</v>
      </c>
      <c r="B61" s="152" t="s">
        <v>46</v>
      </c>
      <c r="C61" s="154" t="s">
        <v>11</v>
      </c>
      <c r="D61" s="267">
        <v>70</v>
      </c>
      <c r="E61" s="267">
        <v>68</v>
      </c>
      <c r="F61" s="267">
        <v>2.95</v>
      </c>
      <c r="G61" s="267">
        <v>2.65</v>
      </c>
      <c r="H61" s="267">
        <f t="shared" si="11"/>
        <v>3.785714285714285</v>
      </c>
      <c r="I61" s="267">
        <f t="shared" si="12"/>
        <v>3.8970588235294117</v>
      </c>
      <c r="J61" s="1086">
        <v>68</v>
      </c>
      <c r="K61" s="267"/>
      <c r="M61" s="166">
        <v>22.43</v>
      </c>
      <c r="Q61" s="193">
        <f>E61*3/4</f>
        <v>51</v>
      </c>
    </row>
    <row r="62" spans="1:17" ht="24.75" customHeight="1">
      <c r="A62" s="154"/>
      <c r="B62" s="228"/>
      <c r="C62" s="154"/>
      <c r="D62" s="267"/>
      <c r="E62" s="267"/>
      <c r="F62" s="267"/>
      <c r="G62" s="267"/>
      <c r="H62" s="267"/>
      <c r="I62" s="267"/>
      <c r="J62" s="267"/>
      <c r="K62" s="267"/>
      <c r="M62" s="193"/>
      <c r="Q62" s="193"/>
    </row>
    <row r="63" spans="1:14" s="167" customFormat="1" ht="24.75" customHeight="1" hidden="1">
      <c r="A63" s="138"/>
      <c r="B63" s="229"/>
      <c r="C63" s="154"/>
      <c r="D63" s="138"/>
      <c r="E63" s="138"/>
      <c r="F63" s="138"/>
      <c r="G63" s="138"/>
      <c r="H63" s="230"/>
      <c r="I63" s="230"/>
      <c r="J63" s="138"/>
      <c r="K63" s="138"/>
      <c r="M63" s="166"/>
      <c r="N63" s="166"/>
    </row>
    <row r="64" spans="1:14" s="167" customFormat="1" ht="24.75" customHeight="1" hidden="1">
      <c r="A64" s="138"/>
      <c r="B64" s="229"/>
      <c r="C64" s="154"/>
      <c r="D64" s="138"/>
      <c r="E64" s="138"/>
      <c r="F64" s="138"/>
      <c r="G64" s="138"/>
      <c r="H64" s="230"/>
      <c r="I64" s="230"/>
      <c r="J64" s="138"/>
      <c r="K64" s="138"/>
      <c r="L64" s="167">
        <f>F58/E58*100</f>
        <v>39.22454619853227</v>
      </c>
      <c r="M64" s="166"/>
      <c r="N64" s="166"/>
    </row>
  </sheetData>
  <sheetProtection/>
  <mergeCells count="10">
    <mergeCell ref="A2:K2"/>
    <mergeCell ref="A3:K3"/>
    <mergeCell ref="A6:A7"/>
    <mergeCell ref="B6:B7"/>
    <mergeCell ref="C6:C7"/>
    <mergeCell ref="D6:D7"/>
    <mergeCell ref="J6:J7"/>
    <mergeCell ref="K6:K7"/>
    <mergeCell ref="E6:I6"/>
    <mergeCell ref="A4:K4"/>
  </mergeCells>
  <printOptions horizontalCentered="1"/>
  <pageMargins left="0.3937007874015748" right="0.3937007874015748" top="0.1968503937007874" bottom="0.3937007874015748" header="0.31496062992125984" footer="0.31496062992125984"/>
  <pageSetup firstPageNumber="1" useFirstPageNumber="1" fitToHeight="0" fitToWidth="1" horizontalDpi="600" verticalDpi="600" orientation="landscape" paperSize="9" scale="89" r:id="rId1"/>
  <headerFooter differentFirst="1">
    <oddFooter>&amp;R&amp;P</oddFooter>
  </headerFooter>
</worksheet>
</file>

<file path=xl/worksheets/sheet10.xml><?xml version="1.0" encoding="utf-8"?>
<worksheet xmlns="http://schemas.openxmlformats.org/spreadsheetml/2006/main" xmlns:r="http://schemas.openxmlformats.org/officeDocument/2006/relationships">
  <sheetPr>
    <tabColor rgb="FFFF0000"/>
  </sheetPr>
  <dimension ref="A1:R102"/>
  <sheetViews>
    <sheetView view="pageBreakPreview" zoomScale="110" zoomScaleSheetLayoutView="110" zoomScalePageLayoutView="0" workbookViewId="0" topLeftCell="A67">
      <selection activeCell="A67" sqref="A1:IV16384"/>
    </sheetView>
  </sheetViews>
  <sheetFormatPr defaultColWidth="8.625" defaultRowHeight="14.25" customHeight="1"/>
  <cols>
    <col min="1" max="1" width="3.50390625" style="1596" customWidth="1"/>
    <col min="2" max="2" width="26.875" style="1596" customWidth="1"/>
    <col min="3" max="3" width="6.625" style="1596" customWidth="1"/>
    <col min="4" max="6" width="7.00390625" style="1596" customWidth="1"/>
    <col min="7" max="16" width="6.125" style="1596" customWidth="1"/>
    <col min="17" max="18" width="5.50390625" style="1596" customWidth="1"/>
    <col min="19" max="16384" width="8.625" style="1596" customWidth="1"/>
  </cols>
  <sheetData>
    <row r="1" spans="1:18" ht="16.5" customHeight="1">
      <c r="A1" s="1592" t="s">
        <v>952</v>
      </c>
      <c r="B1" s="1592"/>
      <c r="C1" s="1593"/>
      <c r="D1" s="1594"/>
      <c r="E1" s="1594"/>
      <c r="F1" s="1594"/>
      <c r="G1" s="1594"/>
      <c r="H1" s="1594"/>
      <c r="I1" s="1594"/>
      <c r="J1" s="1594"/>
      <c r="K1" s="1594"/>
      <c r="L1" s="1594"/>
      <c r="M1" s="1594"/>
      <c r="N1" s="1594"/>
      <c r="O1" s="1594"/>
      <c r="P1" s="1594"/>
      <c r="Q1" s="1595"/>
      <c r="R1" s="1595"/>
    </row>
    <row r="2" spans="1:18" s="405" customFormat="1" ht="18" customHeight="1">
      <c r="A2" s="1355" t="s">
        <v>1291</v>
      </c>
      <c r="B2" s="1355"/>
      <c r="C2" s="1355"/>
      <c r="D2" s="1355"/>
      <c r="E2" s="1355"/>
      <c r="F2" s="1355"/>
      <c r="G2" s="1355"/>
      <c r="H2" s="1355"/>
      <c r="I2" s="1355"/>
      <c r="J2" s="1355"/>
      <c r="K2" s="1355"/>
      <c r="L2" s="1355"/>
      <c r="M2" s="1355"/>
      <c r="N2" s="1355"/>
      <c r="O2" s="1355"/>
      <c r="P2" s="1355"/>
      <c r="Q2" s="1355"/>
      <c r="R2" s="1355"/>
    </row>
    <row r="3" spans="1:18" s="405" customFormat="1" ht="18.75" customHeight="1">
      <c r="A3" s="1339" t="s">
        <v>1276</v>
      </c>
      <c r="B3" s="1339"/>
      <c r="C3" s="1339"/>
      <c r="D3" s="1339"/>
      <c r="E3" s="1339"/>
      <c r="F3" s="1339"/>
      <c r="G3" s="1339"/>
      <c r="H3" s="1339"/>
      <c r="I3" s="1339"/>
      <c r="J3" s="1339"/>
      <c r="K3" s="1339"/>
      <c r="L3" s="1339"/>
      <c r="M3" s="1339"/>
      <c r="N3" s="1339"/>
      <c r="O3" s="1339"/>
      <c r="P3" s="1339"/>
      <c r="Q3" s="1339"/>
      <c r="R3" s="1339"/>
    </row>
    <row r="4" spans="1:18" s="405" customFormat="1" ht="14.25" customHeight="1">
      <c r="A4" s="1597"/>
      <c r="B4" s="1598"/>
      <c r="C4" s="1599"/>
      <c r="D4" s="1599"/>
      <c r="E4" s="1599"/>
      <c r="F4" s="1599"/>
      <c r="G4" s="1599"/>
      <c r="H4" s="1599"/>
      <c r="I4" s="1599"/>
      <c r="J4" s="1599"/>
      <c r="K4" s="1599"/>
      <c r="L4" s="1599"/>
      <c r="M4" s="1599"/>
      <c r="N4" s="1599"/>
      <c r="O4" s="1599"/>
      <c r="P4" s="1599"/>
      <c r="Q4" s="1600"/>
      <c r="R4" s="1598"/>
    </row>
    <row r="5" spans="1:18" s="405" customFormat="1" ht="17.25" customHeight="1">
      <c r="A5" s="1601" t="s">
        <v>953</v>
      </c>
      <c r="B5" s="1601" t="s">
        <v>590</v>
      </c>
      <c r="C5" s="1601" t="s">
        <v>954</v>
      </c>
      <c r="D5" s="1343" t="s">
        <v>1180</v>
      </c>
      <c r="E5" s="1343" t="s">
        <v>1177</v>
      </c>
      <c r="F5" s="1343" t="s">
        <v>470</v>
      </c>
      <c r="G5" s="1602" t="s">
        <v>955</v>
      </c>
      <c r="H5" s="1603"/>
      <c r="I5" s="1603"/>
      <c r="J5" s="1603"/>
      <c r="K5" s="1603"/>
      <c r="L5" s="1603"/>
      <c r="M5" s="1603"/>
      <c r="N5" s="1603"/>
      <c r="O5" s="1603"/>
      <c r="P5" s="1604"/>
      <c r="Q5" s="1605" t="s">
        <v>548</v>
      </c>
      <c r="R5" s="1606"/>
    </row>
    <row r="6" spans="1:18" s="405" customFormat="1" ht="38.25">
      <c r="A6" s="1601"/>
      <c r="B6" s="1601"/>
      <c r="C6" s="1601"/>
      <c r="D6" s="1343"/>
      <c r="E6" s="1343"/>
      <c r="F6" s="1343"/>
      <c r="G6" s="1607" t="s">
        <v>956</v>
      </c>
      <c r="H6" s="1607" t="s">
        <v>530</v>
      </c>
      <c r="I6" s="1607" t="s">
        <v>726</v>
      </c>
      <c r="J6" s="1607" t="s">
        <v>957</v>
      </c>
      <c r="K6" s="1607" t="s">
        <v>596</v>
      </c>
      <c r="L6" s="1607" t="s">
        <v>597</v>
      </c>
      <c r="M6" s="1608" t="s">
        <v>1277</v>
      </c>
      <c r="N6" s="1607" t="s">
        <v>598</v>
      </c>
      <c r="O6" s="1607" t="s">
        <v>599</v>
      </c>
      <c r="P6" s="1607" t="s">
        <v>601</v>
      </c>
      <c r="Q6" s="429" t="s">
        <v>827</v>
      </c>
      <c r="R6" s="429" t="s">
        <v>1182</v>
      </c>
    </row>
    <row r="7" spans="1:18" s="405" customFormat="1" ht="14.25" customHeight="1">
      <c r="A7" s="1609" t="s">
        <v>48</v>
      </c>
      <c r="B7" s="1610" t="s">
        <v>958</v>
      </c>
      <c r="C7" s="1611"/>
      <c r="D7" s="642"/>
      <c r="E7" s="642"/>
      <c r="F7" s="642"/>
      <c r="G7" s="642"/>
      <c r="H7" s="642"/>
      <c r="I7" s="642"/>
      <c r="J7" s="642"/>
      <c r="K7" s="642"/>
      <c r="L7" s="642"/>
      <c r="M7" s="642"/>
      <c r="N7" s="642"/>
      <c r="O7" s="642"/>
      <c r="P7" s="642"/>
      <c r="Q7" s="1612"/>
      <c r="R7" s="1612"/>
    </row>
    <row r="8" spans="1:18" s="405" customFormat="1" ht="25.5">
      <c r="A8" s="1613" t="s">
        <v>107</v>
      </c>
      <c r="B8" s="1614" t="s">
        <v>959</v>
      </c>
      <c r="C8" s="1615"/>
      <c r="D8" s="643"/>
      <c r="E8" s="643"/>
      <c r="F8" s="643"/>
      <c r="G8" s="643"/>
      <c r="H8" s="643"/>
      <c r="I8" s="643"/>
      <c r="J8" s="643"/>
      <c r="K8" s="643"/>
      <c r="L8" s="643"/>
      <c r="M8" s="643"/>
      <c r="N8" s="643"/>
      <c r="O8" s="643"/>
      <c r="P8" s="643"/>
      <c r="Q8" s="643"/>
      <c r="R8" s="643"/>
    </row>
    <row r="9" spans="1:18" s="405" customFormat="1" ht="25.5">
      <c r="A9" s="455" t="s">
        <v>960</v>
      </c>
      <c r="B9" s="456" t="s">
        <v>961</v>
      </c>
      <c r="C9" s="458" t="s">
        <v>962</v>
      </c>
      <c r="D9" s="644">
        <v>83240</v>
      </c>
      <c r="E9" s="644">
        <v>86941</v>
      </c>
      <c r="F9" s="644">
        <f>SUM(G9:P9)</f>
        <v>90340</v>
      </c>
      <c r="G9" s="644">
        <v>14680</v>
      </c>
      <c r="H9" s="644">
        <v>22384</v>
      </c>
      <c r="I9" s="644">
        <v>8000</v>
      </c>
      <c r="J9" s="644">
        <v>11200</v>
      </c>
      <c r="K9" s="644">
        <v>8903</v>
      </c>
      <c r="L9" s="644">
        <v>8157</v>
      </c>
      <c r="M9" s="644">
        <v>2887</v>
      </c>
      <c r="N9" s="644">
        <v>5429</v>
      </c>
      <c r="O9" s="644">
        <v>3900</v>
      </c>
      <c r="P9" s="644">
        <v>4800</v>
      </c>
      <c r="Q9" s="645">
        <f>(E9/D9)*100</f>
        <v>104.44617972128785</v>
      </c>
      <c r="R9" s="645">
        <f>(F9/E9)*100</f>
        <v>103.90954785429199</v>
      </c>
    </row>
    <row r="10" spans="1:18" s="405" customFormat="1" ht="15.75">
      <c r="A10" s="455" t="s">
        <v>963</v>
      </c>
      <c r="B10" s="456" t="s">
        <v>964</v>
      </c>
      <c r="C10" s="458" t="s">
        <v>962</v>
      </c>
      <c r="D10" s="644">
        <v>75722</v>
      </c>
      <c r="E10" s="644">
        <v>80244</v>
      </c>
      <c r="F10" s="644">
        <f>SUM(G10:P10)</f>
        <v>81382</v>
      </c>
      <c r="G10" s="644">
        <v>14000</v>
      </c>
      <c r="H10" s="644">
        <v>21816</v>
      </c>
      <c r="I10" s="644">
        <v>6650</v>
      </c>
      <c r="J10" s="644">
        <v>9980</v>
      </c>
      <c r="K10" s="644">
        <v>7326</v>
      </c>
      <c r="L10" s="644">
        <v>7930</v>
      </c>
      <c r="M10" s="644">
        <v>2670</v>
      </c>
      <c r="N10" s="644">
        <v>4360</v>
      </c>
      <c r="O10" s="644">
        <v>2700</v>
      </c>
      <c r="P10" s="644">
        <v>3950</v>
      </c>
      <c r="Q10" s="645">
        <f aca="true" t="shared" si="0" ref="Q10:R73">(E10/D10)*100</f>
        <v>105.97184437811997</v>
      </c>
      <c r="R10" s="645">
        <f t="shared" si="0"/>
        <v>101.41817456756893</v>
      </c>
    </row>
    <row r="11" spans="1:18" s="1618" customFormat="1" ht="25.5">
      <c r="A11" s="1616"/>
      <c r="B11" s="1617" t="s">
        <v>965</v>
      </c>
      <c r="C11" s="663" t="s">
        <v>21</v>
      </c>
      <c r="D11" s="646">
        <v>62.1</v>
      </c>
      <c r="E11" s="1268">
        <v>63.8</v>
      </c>
      <c r="F11" s="648">
        <f>F10/125735*100</f>
        <v>64.72501690062433</v>
      </c>
      <c r="G11" s="649">
        <f>G10/14730*100</f>
        <v>95.04412763068567</v>
      </c>
      <c r="H11" s="648">
        <f>H10/28059*100</f>
        <v>77.75045439965787</v>
      </c>
      <c r="I11" s="648">
        <f>I10/12561*100</f>
        <v>52.94164477350529</v>
      </c>
      <c r="J11" s="649">
        <f>J10/18146*100</f>
        <v>54.99834674308387</v>
      </c>
      <c r="K11" s="648">
        <f>K10/10970*100</f>
        <v>66.78213309024612</v>
      </c>
      <c r="L11" s="649">
        <f>L10/11329*100</f>
        <v>69.99735192867861</v>
      </c>
      <c r="M11" s="648">
        <f>M10/3085*100</f>
        <v>86.54781199351702</v>
      </c>
      <c r="N11" s="649">
        <f>N10/8892*100</f>
        <v>49.03283850652272</v>
      </c>
      <c r="O11" s="648">
        <f>O10/8321*100</f>
        <v>32.44802307414974</v>
      </c>
      <c r="P11" s="648">
        <f>P10/9642*100</f>
        <v>40.96660443891309</v>
      </c>
      <c r="Q11" s="648">
        <f>E11-D11</f>
        <v>1.6999999999999957</v>
      </c>
      <c r="R11" s="648">
        <f>F11-E11</f>
        <v>0.9250169006243283</v>
      </c>
    </row>
    <row r="12" spans="1:18" s="405" customFormat="1" ht="25.5">
      <c r="A12" s="455" t="s">
        <v>966</v>
      </c>
      <c r="B12" s="456" t="s">
        <v>967</v>
      </c>
      <c r="C12" s="458" t="s">
        <v>546</v>
      </c>
      <c r="D12" s="644">
        <v>1342</v>
      </c>
      <c r="E12" s="644">
        <v>1396</v>
      </c>
      <c r="F12" s="644">
        <f>SUM(G12:P12)</f>
        <v>1427</v>
      </c>
      <c r="G12" s="650">
        <v>164</v>
      </c>
      <c r="H12" s="650">
        <v>398</v>
      </c>
      <c r="I12" s="650">
        <v>210</v>
      </c>
      <c r="J12" s="650">
        <v>140</v>
      </c>
      <c r="K12" s="650">
        <v>111</v>
      </c>
      <c r="L12" s="650">
        <v>130</v>
      </c>
      <c r="M12" s="650">
        <v>49</v>
      </c>
      <c r="N12" s="650">
        <v>95</v>
      </c>
      <c r="O12" s="650">
        <v>50</v>
      </c>
      <c r="P12" s="650">
        <v>80</v>
      </c>
      <c r="Q12" s="645">
        <f t="shared" si="0"/>
        <v>104.02384500745157</v>
      </c>
      <c r="R12" s="645">
        <f t="shared" si="0"/>
        <v>102.22063037249282</v>
      </c>
    </row>
    <row r="13" spans="1:18" s="405" customFormat="1" ht="15.75">
      <c r="A13" s="455" t="s">
        <v>968</v>
      </c>
      <c r="B13" s="456" t="s">
        <v>969</v>
      </c>
      <c r="C13" s="458" t="s">
        <v>546</v>
      </c>
      <c r="D13" s="644">
        <v>985</v>
      </c>
      <c r="E13" s="644">
        <v>1029</v>
      </c>
      <c r="F13" s="644">
        <f>SUM(G13:P13)</f>
        <v>1065</v>
      </c>
      <c r="G13" s="650">
        <v>148</v>
      </c>
      <c r="H13" s="650">
        <v>330</v>
      </c>
      <c r="I13" s="650">
        <v>130</v>
      </c>
      <c r="J13" s="650">
        <v>65</v>
      </c>
      <c r="K13" s="650">
        <v>79</v>
      </c>
      <c r="L13" s="650">
        <v>120</v>
      </c>
      <c r="M13" s="650">
        <v>46</v>
      </c>
      <c r="N13" s="650">
        <v>71</v>
      </c>
      <c r="O13" s="650">
        <v>36</v>
      </c>
      <c r="P13" s="650">
        <v>40</v>
      </c>
      <c r="Q13" s="645">
        <f t="shared" si="0"/>
        <v>104.46700507614213</v>
      </c>
      <c r="R13" s="645">
        <f t="shared" si="0"/>
        <v>103.49854227405248</v>
      </c>
    </row>
    <row r="14" spans="1:18" s="1618" customFormat="1" ht="25.5">
      <c r="A14" s="1616"/>
      <c r="B14" s="1617" t="s">
        <v>970</v>
      </c>
      <c r="C14" s="663" t="s">
        <v>21</v>
      </c>
      <c r="D14" s="647">
        <f>D13/D15*100</f>
        <v>56.06146841206602</v>
      </c>
      <c r="E14" s="647">
        <f>E13/E15*100</f>
        <v>56.75675675675676</v>
      </c>
      <c r="F14" s="647">
        <f>F13/F15*100</f>
        <v>58.71003307607497</v>
      </c>
      <c r="G14" s="647">
        <f aca="true" t="shared" si="1" ref="G14:P14">G13/G15*100</f>
        <v>90.2439024390244</v>
      </c>
      <c r="H14" s="647">
        <f t="shared" si="1"/>
        <v>70.96774193548387</v>
      </c>
      <c r="I14" s="647">
        <f t="shared" si="1"/>
        <v>53.49794238683128</v>
      </c>
      <c r="J14" s="647">
        <f t="shared" si="1"/>
        <v>27.42616033755274</v>
      </c>
      <c r="K14" s="647">
        <f t="shared" si="1"/>
        <v>56.83453237410072</v>
      </c>
      <c r="L14" s="647">
        <f t="shared" si="1"/>
        <v>83.91608391608392</v>
      </c>
      <c r="M14" s="647">
        <f t="shared" si="1"/>
        <v>93.87755102040816</v>
      </c>
      <c r="N14" s="647">
        <f t="shared" si="1"/>
        <v>57.25806451612904</v>
      </c>
      <c r="O14" s="647">
        <f t="shared" si="1"/>
        <v>30.508474576271187</v>
      </c>
      <c r="P14" s="647">
        <f t="shared" si="1"/>
        <v>30.303030303030305</v>
      </c>
      <c r="Q14" s="648">
        <f>E14-D14</f>
        <v>0.6952883446907379</v>
      </c>
      <c r="R14" s="648">
        <f>F14-E14</f>
        <v>1.9532763193182134</v>
      </c>
    </row>
    <row r="15" spans="1:18" s="1622" customFormat="1" ht="15.75">
      <c r="A15" s="1619"/>
      <c r="B15" s="1620" t="s">
        <v>971</v>
      </c>
      <c r="C15" s="1621"/>
      <c r="D15" s="651">
        <v>1757</v>
      </c>
      <c r="E15" s="651">
        <v>1813</v>
      </c>
      <c r="F15" s="651">
        <f>SUM(G15:P15)</f>
        <v>1814</v>
      </c>
      <c r="G15" s="652">
        <v>164</v>
      </c>
      <c r="H15" s="652">
        <v>465</v>
      </c>
      <c r="I15" s="652">
        <v>243</v>
      </c>
      <c r="J15" s="652">
        <v>237</v>
      </c>
      <c r="K15" s="652">
        <v>139</v>
      </c>
      <c r="L15" s="652">
        <v>143</v>
      </c>
      <c r="M15" s="652">
        <v>49</v>
      </c>
      <c r="N15" s="652">
        <v>124</v>
      </c>
      <c r="O15" s="652">
        <v>118</v>
      </c>
      <c r="P15" s="652">
        <v>132</v>
      </c>
      <c r="Q15" s="653">
        <f t="shared" si="0"/>
        <v>103.18725099601593</v>
      </c>
      <c r="R15" s="653">
        <f t="shared" si="0"/>
        <v>100.05515719801434</v>
      </c>
    </row>
    <row r="16" spans="1:18" s="405" customFormat="1" ht="25.5">
      <c r="A16" s="455" t="s">
        <v>972</v>
      </c>
      <c r="B16" s="456" t="s">
        <v>973</v>
      </c>
      <c r="C16" s="458" t="s">
        <v>974</v>
      </c>
      <c r="D16" s="644">
        <v>1239</v>
      </c>
      <c r="E16" s="650">
        <v>1291</v>
      </c>
      <c r="F16" s="644">
        <f>SUM(G16:P16)</f>
        <v>1295</v>
      </c>
      <c r="G16" s="650">
        <v>280</v>
      </c>
      <c r="H16" s="650">
        <v>171</v>
      </c>
      <c r="I16" s="650">
        <v>115</v>
      </c>
      <c r="J16" s="650">
        <v>140</v>
      </c>
      <c r="K16" s="650">
        <v>101</v>
      </c>
      <c r="L16" s="650">
        <v>120</v>
      </c>
      <c r="M16" s="650">
        <v>60</v>
      </c>
      <c r="N16" s="650">
        <v>115</v>
      </c>
      <c r="O16" s="650">
        <v>103</v>
      </c>
      <c r="P16" s="650">
        <v>90</v>
      </c>
      <c r="Q16" s="645">
        <f t="shared" si="0"/>
        <v>104.19693301049233</v>
      </c>
      <c r="R16" s="645">
        <f t="shared" si="0"/>
        <v>100.30983733539891</v>
      </c>
    </row>
    <row r="17" spans="1:18" s="405" customFormat="1" ht="25.5">
      <c r="A17" s="455" t="s">
        <v>975</v>
      </c>
      <c r="B17" s="456" t="s">
        <v>976</v>
      </c>
      <c r="C17" s="458" t="s">
        <v>977</v>
      </c>
      <c r="D17" s="644">
        <v>1163</v>
      </c>
      <c r="E17" s="650">
        <v>1218</v>
      </c>
      <c r="F17" s="644">
        <f>SUM(G17:P17)</f>
        <v>1214</v>
      </c>
      <c r="G17" s="650">
        <v>270</v>
      </c>
      <c r="H17" s="650">
        <v>160</v>
      </c>
      <c r="I17" s="650">
        <v>95</v>
      </c>
      <c r="J17" s="650">
        <v>125</v>
      </c>
      <c r="K17" s="650">
        <v>98</v>
      </c>
      <c r="L17" s="650">
        <v>112</v>
      </c>
      <c r="M17" s="650">
        <v>58</v>
      </c>
      <c r="N17" s="650">
        <v>111</v>
      </c>
      <c r="O17" s="650">
        <v>103</v>
      </c>
      <c r="P17" s="650">
        <v>82</v>
      </c>
      <c r="Q17" s="645">
        <f t="shared" si="0"/>
        <v>104.72914875322441</v>
      </c>
      <c r="R17" s="645">
        <f t="shared" si="0"/>
        <v>99.67159277504105</v>
      </c>
    </row>
    <row r="18" spans="1:18" s="1618" customFormat="1" ht="38.25">
      <c r="A18" s="1616"/>
      <c r="B18" s="1617" t="s">
        <v>978</v>
      </c>
      <c r="C18" s="663" t="s">
        <v>21</v>
      </c>
      <c r="D18" s="647">
        <f>D17/1345*100</f>
        <v>86.46840148698884</v>
      </c>
      <c r="E18" s="647">
        <f>E17/1345*100</f>
        <v>90.55762081784387</v>
      </c>
      <c r="F18" s="647">
        <f>F17/1335*100</f>
        <v>90.93632958801498</v>
      </c>
      <c r="G18" s="647">
        <f>G17/280*100</f>
        <v>96.42857142857143</v>
      </c>
      <c r="H18" s="647">
        <f>H17/171*100</f>
        <v>93.56725146198829</v>
      </c>
      <c r="I18" s="647">
        <f>I17/120*100</f>
        <v>79.16666666666666</v>
      </c>
      <c r="J18" s="654">
        <f>J17/144*100</f>
        <v>86.80555555555556</v>
      </c>
      <c r="K18" s="655">
        <f>K17/101*100</f>
        <v>97.02970297029702</v>
      </c>
      <c r="L18" s="647">
        <f>L17/120*100</f>
        <v>93.33333333333333</v>
      </c>
      <c r="M18" s="654">
        <f>M17/60*100</f>
        <v>96.66666666666667</v>
      </c>
      <c r="N18" s="647">
        <f>N17/131*100</f>
        <v>84.7328244274809</v>
      </c>
      <c r="O18" s="656">
        <f>O17/103*100</f>
        <v>100</v>
      </c>
      <c r="P18" s="647">
        <f>P17/105*100</f>
        <v>78.0952380952381</v>
      </c>
      <c r="Q18" s="648">
        <f>E18-D18</f>
        <v>4.08921933085503</v>
      </c>
      <c r="R18" s="648">
        <f>F18-E18</f>
        <v>0.3787087701711158</v>
      </c>
    </row>
    <row r="19" spans="1:18" s="405" customFormat="1" ht="25.5">
      <c r="A19" s="455" t="s">
        <v>979</v>
      </c>
      <c r="B19" s="456" t="s">
        <v>980</v>
      </c>
      <c r="C19" s="458" t="s">
        <v>85</v>
      </c>
      <c r="D19" s="644">
        <v>33</v>
      </c>
      <c r="E19" s="650">
        <v>33</v>
      </c>
      <c r="F19" s="644">
        <f>SUM(G19:P19)</f>
        <v>41</v>
      </c>
      <c r="G19" s="650">
        <v>2</v>
      </c>
      <c r="H19" s="650">
        <v>12</v>
      </c>
      <c r="I19" s="650">
        <v>3</v>
      </c>
      <c r="J19" s="650">
        <v>5</v>
      </c>
      <c r="K19" s="650">
        <v>5</v>
      </c>
      <c r="L19" s="650">
        <v>1</v>
      </c>
      <c r="M19" s="650">
        <v>1</v>
      </c>
      <c r="N19" s="650">
        <v>4</v>
      </c>
      <c r="O19" s="650">
        <v>3</v>
      </c>
      <c r="P19" s="650">
        <v>5</v>
      </c>
      <c r="Q19" s="645">
        <f t="shared" si="0"/>
        <v>100</v>
      </c>
      <c r="R19" s="645">
        <f t="shared" si="0"/>
        <v>124.24242424242425</v>
      </c>
    </row>
    <row r="20" spans="1:18" s="405" customFormat="1" ht="15.75">
      <c r="A20" s="455" t="s">
        <v>981</v>
      </c>
      <c r="B20" s="456" t="s">
        <v>982</v>
      </c>
      <c r="C20" s="458" t="s">
        <v>977</v>
      </c>
      <c r="D20" s="644">
        <v>5</v>
      </c>
      <c r="E20" s="650">
        <v>11</v>
      </c>
      <c r="F20" s="644">
        <f>SUM(G20:P20)</f>
        <v>15</v>
      </c>
      <c r="G20" s="657">
        <v>2</v>
      </c>
      <c r="H20" s="657">
        <v>5</v>
      </c>
      <c r="I20" s="657">
        <v>1</v>
      </c>
      <c r="J20" s="657">
        <v>1</v>
      </c>
      <c r="K20" s="650">
        <v>2</v>
      </c>
      <c r="L20" s="650">
        <v>0</v>
      </c>
      <c r="M20" s="650">
        <v>1</v>
      </c>
      <c r="N20" s="650">
        <v>1</v>
      </c>
      <c r="O20" s="650">
        <v>1</v>
      </c>
      <c r="P20" s="650">
        <v>1</v>
      </c>
      <c r="Q20" s="645">
        <f t="shared" si="0"/>
        <v>220.00000000000003</v>
      </c>
      <c r="R20" s="645">
        <f t="shared" si="0"/>
        <v>136.36363636363635</v>
      </c>
    </row>
    <row r="21" spans="1:18" s="1618" customFormat="1" ht="25.5">
      <c r="A21" s="1616"/>
      <c r="B21" s="1617" t="s">
        <v>983</v>
      </c>
      <c r="C21" s="663" t="s">
        <v>21</v>
      </c>
      <c r="D21" s="664">
        <f>D20/116*100</f>
        <v>4.310344827586207</v>
      </c>
      <c r="E21" s="664">
        <f aca="true" t="shared" si="2" ref="E21:P21">E20/116*100</f>
        <v>9.482758620689655</v>
      </c>
      <c r="F21" s="664">
        <f t="shared" si="2"/>
        <v>12.931034482758621</v>
      </c>
      <c r="G21" s="664">
        <f t="shared" si="2"/>
        <v>1.7241379310344827</v>
      </c>
      <c r="H21" s="664">
        <f t="shared" si="2"/>
        <v>4.310344827586207</v>
      </c>
      <c r="I21" s="664">
        <f t="shared" si="2"/>
        <v>0.8620689655172413</v>
      </c>
      <c r="J21" s="664">
        <f t="shared" si="2"/>
        <v>0.8620689655172413</v>
      </c>
      <c r="K21" s="664">
        <f t="shared" si="2"/>
        <v>1.7241379310344827</v>
      </c>
      <c r="L21" s="664">
        <f t="shared" si="2"/>
        <v>0</v>
      </c>
      <c r="M21" s="664">
        <f t="shared" si="2"/>
        <v>0.8620689655172413</v>
      </c>
      <c r="N21" s="664">
        <f t="shared" si="2"/>
        <v>0.8620689655172413</v>
      </c>
      <c r="O21" s="664">
        <f t="shared" si="2"/>
        <v>0.8620689655172413</v>
      </c>
      <c r="P21" s="664">
        <f t="shared" si="2"/>
        <v>0.8620689655172413</v>
      </c>
      <c r="Q21" s="658">
        <f>E21-D21</f>
        <v>5.1724137931034475</v>
      </c>
      <c r="R21" s="648">
        <f>F21-E21</f>
        <v>3.448275862068966</v>
      </c>
    </row>
    <row r="22" spans="1:18" s="405" customFormat="1" ht="25.5">
      <c r="A22" s="455" t="s">
        <v>984</v>
      </c>
      <c r="B22" s="456" t="s">
        <v>985</v>
      </c>
      <c r="C22" s="458" t="s">
        <v>986</v>
      </c>
      <c r="D22" s="661">
        <v>12</v>
      </c>
      <c r="E22" s="650">
        <v>12</v>
      </c>
      <c r="F22" s="644">
        <f>SUM(G22:P22)</f>
        <v>13</v>
      </c>
      <c r="G22" s="650">
        <v>7</v>
      </c>
      <c r="H22" s="650">
        <v>0</v>
      </c>
      <c r="I22" s="650">
        <v>1</v>
      </c>
      <c r="J22" s="650">
        <v>1</v>
      </c>
      <c r="K22" s="650">
        <v>1</v>
      </c>
      <c r="L22" s="650">
        <v>0</v>
      </c>
      <c r="M22" s="650">
        <v>2</v>
      </c>
      <c r="N22" s="650">
        <v>1</v>
      </c>
      <c r="O22" s="650">
        <v>0</v>
      </c>
      <c r="P22" s="650">
        <v>0</v>
      </c>
      <c r="Q22" s="644">
        <f t="shared" si="0"/>
        <v>100</v>
      </c>
      <c r="R22" s="645">
        <f t="shared" si="0"/>
        <v>108.33333333333333</v>
      </c>
    </row>
    <row r="23" spans="1:18" s="405" customFormat="1" ht="25.5">
      <c r="A23" s="455" t="s">
        <v>987</v>
      </c>
      <c r="B23" s="456" t="s">
        <v>988</v>
      </c>
      <c r="C23" s="458" t="s">
        <v>977</v>
      </c>
      <c r="D23" s="661">
        <v>7</v>
      </c>
      <c r="E23" s="650">
        <v>7</v>
      </c>
      <c r="F23" s="644">
        <f>SUM(G23:P23)</f>
        <v>8</v>
      </c>
      <c r="G23" s="650">
        <v>5</v>
      </c>
      <c r="H23" s="650">
        <v>0</v>
      </c>
      <c r="I23" s="650">
        <v>0</v>
      </c>
      <c r="J23" s="650">
        <v>1</v>
      </c>
      <c r="K23" s="650">
        <v>0</v>
      </c>
      <c r="L23" s="650">
        <v>0</v>
      </c>
      <c r="M23" s="650">
        <v>1</v>
      </c>
      <c r="N23" s="650">
        <v>1</v>
      </c>
      <c r="O23" s="650">
        <v>0</v>
      </c>
      <c r="P23" s="650">
        <v>0</v>
      </c>
      <c r="Q23" s="644">
        <f t="shared" si="0"/>
        <v>100</v>
      </c>
      <c r="R23" s="645">
        <f t="shared" si="0"/>
        <v>114.28571428571428</v>
      </c>
    </row>
    <row r="24" spans="1:18" s="1618" customFormat="1" ht="25.5">
      <c r="A24" s="1616"/>
      <c r="B24" s="1617" t="s">
        <v>989</v>
      </c>
      <c r="C24" s="663" t="s">
        <v>21</v>
      </c>
      <c r="D24" s="655">
        <f>D23/14*100</f>
        <v>50</v>
      </c>
      <c r="E24" s="655">
        <f aca="true" t="shared" si="3" ref="E24:P24">E23/14*100</f>
        <v>50</v>
      </c>
      <c r="F24" s="664">
        <f t="shared" si="3"/>
        <v>57.14285714285714</v>
      </c>
      <c r="G24" s="655">
        <f>G23/7*100</f>
        <v>71.42857142857143</v>
      </c>
      <c r="H24" s="655">
        <f t="shared" si="3"/>
        <v>0</v>
      </c>
      <c r="I24" s="655">
        <f t="shared" si="3"/>
        <v>0</v>
      </c>
      <c r="J24" s="655">
        <f>J23/1*100</f>
        <v>100</v>
      </c>
      <c r="K24" s="655">
        <f>K23/1*100</f>
        <v>0</v>
      </c>
      <c r="L24" s="655">
        <f t="shared" si="3"/>
        <v>0</v>
      </c>
      <c r="M24" s="655">
        <f>M23/1*100</f>
        <v>100</v>
      </c>
      <c r="N24" s="655">
        <f>N23/1*100</f>
        <v>100</v>
      </c>
      <c r="O24" s="655">
        <f t="shared" si="3"/>
        <v>0</v>
      </c>
      <c r="P24" s="655">
        <f t="shared" si="3"/>
        <v>0</v>
      </c>
      <c r="Q24" s="658">
        <f>E24-D24</f>
        <v>0</v>
      </c>
      <c r="R24" s="648">
        <f>F24-E24</f>
        <v>7.142857142857139</v>
      </c>
    </row>
    <row r="25" spans="1:18" s="405" customFormat="1" ht="15.75">
      <c r="A25" s="1613" t="s">
        <v>117</v>
      </c>
      <c r="B25" s="1614" t="s">
        <v>990</v>
      </c>
      <c r="C25" s="1615"/>
      <c r="D25" s="643"/>
      <c r="E25" s="643"/>
      <c r="F25" s="643"/>
      <c r="G25" s="643"/>
      <c r="H25" s="643"/>
      <c r="I25" s="643"/>
      <c r="J25" s="643"/>
      <c r="K25" s="643"/>
      <c r="L25" s="643"/>
      <c r="M25" s="643"/>
      <c r="N25" s="643"/>
      <c r="O25" s="643"/>
      <c r="P25" s="643"/>
      <c r="Q25" s="659"/>
      <c r="R25" s="659"/>
    </row>
    <row r="26" spans="1:18" s="405" customFormat="1" ht="38.25">
      <c r="A26" s="455" t="s">
        <v>960</v>
      </c>
      <c r="B26" s="456" t="s">
        <v>991</v>
      </c>
      <c r="C26" s="458" t="s">
        <v>992</v>
      </c>
      <c r="D26" s="660">
        <v>67</v>
      </c>
      <c r="E26" s="660">
        <v>67</v>
      </c>
      <c r="F26" s="650">
        <v>67</v>
      </c>
      <c r="G26" s="650">
        <v>9</v>
      </c>
      <c r="H26" s="650">
        <v>5</v>
      </c>
      <c r="I26" s="650">
        <v>14</v>
      </c>
      <c r="J26" s="650">
        <v>19</v>
      </c>
      <c r="K26" s="650">
        <v>5</v>
      </c>
      <c r="L26" s="650">
        <v>2</v>
      </c>
      <c r="M26" s="650">
        <v>3</v>
      </c>
      <c r="N26" s="650">
        <v>2</v>
      </c>
      <c r="O26" s="650">
        <v>5</v>
      </c>
      <c r="P26" s="650">
        <v>3</v>
      </c>
      <c r="Q26" s="644">
        <f t="shared" si="0"/>
        <v>100</v>
      </c>
      <c r="R26" s="644">
        <f t="shared" si="0"/>
        <v>100</v>
      </c>
    </row>
    <row r="27" spans="1:18" s="1618" customFormat="1" ht="25.5">
      <c r="A27" s="1616"/>
      <c r="B27" s="1617" t="s">
        <v>993</v>
      </c>
      <c r="C27" s="663" t="s">
        <v>21</v>
      </c>
      <c r="D27" s="664">
        <f>D26/D36*100</f>
        <v>51.53846153846153</v>
      </c>
      <c r="E27" s="664">
        <f aca="true" t="shared" si="4" ref="E27:P27">E26/E36*100</f>
        <v>51.53846153846153</v>
      </c>
      <c r="F27" s="664">
        <f t="shared" si="4"/>
        <v>51.53846153846153</v>
      </c>
      <c r="G27" s="655">
        <f t="shared" si="4"/>
        <v>100</v>
      </c>
      <c r="H27" s="655">
        <f t="shared" si="4"/>
        <v>20</v>
      </c>
      <c r="I27" s="655">
        <f t="shared" si="4"/>
        <v>100</v>
      </c>
      <c r="J27" s="655">
        <f t="shared" si="4"/>
        <v>100</v>
      </c>
      <c r="K27" s="655">
        <f t="shared" si="4"/>
        <v>50</v>
      </c>
      <c r="L27" s="664">
        <f t="shared" si="4"/>
        <v>16.666666666666664</v>
      </c>
      <c r="M27" s="655">
        <f t="shared" si="4"/>
        <v>100</v>
      </c>
      <c r="N27" s="664">
        <f t="shared" si="4"/>
        <v>16.666666666666664</v>
      </c>
      <c r="O27" s="664">
        <f t="shared" si="4"/>
        <v>45.45454545454545</v>
      </c>
      <c r="P27" s="655">
        <f t="shared" si="4"/>
        <v>20</v>
      </c>
      <c r="Q27" s="658">
        <f>E27-D27</f>
        <v>0</v>
      </c>
      <c r="R27" s="658">
        <f>F27-E27</f>
        <v>0</v>
      </c>
    </row>
    <row r="28" spans="1:18" s="405" customFormat="1" ht="25.5">
      <c r="A28" s="455" t="s">
        <v>963</v>
      </c>
      <c r="B28" s="456" t="s">
        <v>994</v>
      </c>
      <c r="C28" s="458" t="s">
        <v>995</v>
      </c>
      <c r="D28" s="661">
        <v>273</v>
      </c>
      <c r="E28" s="661">
        <v>315</v>
      </c>
      <c r="F28" s="661">
        <v>320</v>
      </c>
      <c r="G28" s="650">
        <v>34</v>
      </c>
      <c r="H28" s="650">
        <v>5</v>
      </c>
      <c r="I28" s="650">
        <v>25</v>
      </c>
      <c r="J28" s="650">
        <v>168</v>
      </c>
      <c r="K28" s="650">
        <v>5</v>
      </c>
      <c r="L28" s="650">
        <v>10</v>
      </c>
      <c r="M28" s="650">
        <v>15</v>
      </c>
      <c r="N28" s="650">
        <v>15</v>
      </c>
      <c r="O28" s="650">
        <v>33</v>
      </c>
      <c r="P28" s="650">
        <v>10</v>
      </c>
      <c r="Q28" s="645">
        <f t="shared" si="0"/>
        <v>115.38461538461537</v>
      </c>
      <c r="R28" s="645">
        <f t="shared" si="0"/>
        <v>101.58730158730158</v>
      </c>
    </row>
    <row r="29" spans="1:18" s="1618" customFormat="1" ht="25.5">
      <c r="A29" s="1616"/>
      <c r="B29" s="1617" t="s">
        <v>996</v>
      </c>
      <c r="C29" s="663" t="s">
        <v>21</v>
      </c>
      <c r="D29" s="664">
        <f>D28/D15*100</f>
        <v>15.53784860557769</v>
      </c>
      <c r="E29" s="664">
        <f aca="true" t="shared" si="5" ref="E29:P29">E28/E15*100</f>
        <v>17.374517374517374</v>
      </c>
      <c r="F29" s="664">
        <f t="shared" si="5"/>
        <v>17.640573318632853</v>
      </c>
      <c r="G29" s="664">
        <f t="shared" si="5"/>
        <v>20.73170731707317</v>
      </c>
      <c r="H29" s="664">
        <f t="shared" si="5"/>
        <v>1.0752688172043012</v>
      </c>
      <c r="I29" s="664">
        <f t="shared" si="5"/>
        <v>10.2880658436214</v>
      </c>
      <c r="J29" s="664">
        <f t="shared" si="5"/>
        <v>70.88607594936708</v>
      </c>
      <c r="K29" s="664">
        <f t="shared" si="5"/>
        <v>3.597122302158273</v>
      </c>
      <c r="L29" s="664">
        <f t="shared" si="5"/>
        <v>6.993006993006993</v>
      </c>
      <c r="M29" s="664">
        <f t="shared" si="5"/>
        <v>30.612244897959183</v>
      </c>
      <c r="N29" s="664">
        <f t="shared" si="5"/>
        <v>12.096774193548388</v>
      </c>
      <c r="O29" s="655">
        <f t="shared" si="5"/>
        <v>27.966101694915253</v>
      </c>
      <c r="P29" s="664">
        <f t="shared" si="5"/>
        <v>7.575757575757576</v>
      </c>
      <c r="Q29" s="648">
        <f>E29-D29</f>
        <v>1.8366687689396848</v>
      </c>
      <c r="R29" s="648">
        <f>F29-E29</f>
        <v>0.26605594411547884</v>
      </c>
    </row>
    <row r="30" spans="1:18" s="405" customFormat="1" ht="38.25">
      <c r="A30" s="455" t="s">
        <v>966</v>
      </c>
      <c r="B30" s="456" t="s">
        <v>997</v>
      </c>
      <c r="C30" s="458" t="s">
        <v>21</v>
      </c>
      <c r="D30" s="661">
        <v>100</v>
      </c>
      <c r="E30" s="661">
        <v>100</v>
      </c>
      <c r="F30" s="661">
        <v>100</v>
      </c>
      <c r="G30" s="661">
        <v>100</v>
      </c>
      <c r="H30" s="661">
        <v>100</v>
      </c>
      <c r="I30" s="661">
        <v>100</v>
      </c>
      <c r="J30" s="661">
        <v>100</v>
      </c>
      <c r="K30" s="661">
        <v>100</v>
      </c>
      <c r="L30" s="661">
        <v>100</v>
      </c>
      <c r="M30" s="661">
        <v>100</v>
      </c>
      <c r="N30" s="661">
        <v>100</v>
      </c>
      <c r="O30" s="661">
        <v>100</v>
      </c>
      <c r="P30" s="661">
        <v>100</v>
      </c>
      <c r="Q30" s="645">
        <f>E30-D30</f>
        <v>0</v>
      </c>
      <c r="R30" s="645">
        <f>F30-E30</f>
        <v>0</v>
      </c>
    </row>
    <row r="31" spans="1:18" s="405" customFormat="1" ht="25.5">
      <c r="A31" s="1613" t="s">
        <v>122</v>
      </c>
      <c r="B31" s="1614" t="s">
        <v>998</v>
      </c>
      <c r="C31" s="1615"/>
      <c r="D31" s="643"/>
      <c r="E31" s="643"/>
      <c r="F31" s="643"/>
      <c r="G31" s="643"/>
      <c r="H31" s="643"/>
      <c r="I31" s="643"/>
      <c r="J31" s="643"/>
      <c r="K31" s="643"/>
      <c r="L31" s="643"/>
      <c r="M31" s="643"/>
      <c r="N31" s="643"/>
      <c r="O31" s="643"/>
      <c r="P31" s="643"/>
      <c r="Q31" s="659"/>
      <c r="R31" s="659"/>
    </row>
    <row r="32" spans="1:18" s="405" customFormat="1" ht="25.5">
      <c r="A32" s="455" t="s">
        <v>960</v>
      </c>
      <c r="B32" s="456" t="s">
        <v>999</v>
      </c>
      <c r="C32" s="458" t="s">
        <v>1000</v>
      </c>
      <c r="D32" s="661">
        <v>1</v>
      </c>
      <c r="E32" s="661">
        <v>1</v>
      </c>
      <c r="F32" s="661">
        <v>1</v>
      </c>
      <c r="G32" s="661">
        <v>1</v>
      </c>
      <c r="H32" s="667"/>
      <c r="I32" s="667"/>
      <c r="J32" s="667"/>
      <c r="K32" s="667"/>
      <c r="L32" s="667"/>
      <c r="M32" s="667"/>
      <c r="N32" s="667"/>
      <c r="O32" s="667"/>
      <c r="P32" s="667"/>
      <c r="Q32" s="644">
        <f t="shared" si="0"/>
        <v>100</v>
      </c>
      <c r="R32" s="644">
        <f t="shared" si="0"/>
        <v>100</v>
      </c>
    </row>
    <row r="33" spans="1:18" s="405" customFormat="1" ht="25.5">
      <c r="A33" s="455" t="s">
        <v>963</v>
      </c>
      <c r="B33" s="456" t="s">
        <v>1001</v>
      </c>
      <c r="C33" s="458" t="s">
        <v>1000</v>
      </c>
      <c r="D33" s="661">
        <v>8</v>
      </c>
      <c r="E33" s="661">
        <v>8</v>
      </c>
      <c r="F33" s="661">
        <v>8</v>
      </c>
      <c r="G33" s="661">
        <v>0</v>
      </c>
      <c r="H33" s="661">
        <v>1</v>
      </c>
      <c r="I33" s="661">
        <v>1</v>
      </c>
      <c r="J33" s="661">
        <v>1</v>
      </c>
      <c r="K33" s="661">
        <v>1</v>
      </c>
      <c r="L33" s="661">
        <v>1</v>
      </c>
      <c r="M33" s="661">
        <v>1</v>
      </c>
      <c r="N33" s="661">
        <v>1</v>
      </c>
      <c r="O33" s="661">
        <v>1</v>
      </c>
      <c r="P33" s="661">
        <v>0</v>
      </c>
      <c r="Q33" s="644">
        <f t="shared" si="0"/>
        <v>100</v>
      </c>
      <c r="R33" s="644">
        <f t="shared" si="0"/>
        <v>100</v>
      </c>
    </row>
    <row r="34" spans="1:18" s="405" customFormat="1" ht="24">
      <c r="A34" s="455" t="s">
        <v>966</v>
      </c>
      <c r="B34" s="456" t="s">
        <v>1002</v>
      </c>
      <c r="C34" s="458" t="s">
        <v>1000</v>
      </c>
      <c r="D34" s="661">
        <v>10</v>
      </c>
      <c r="E34" s="661">
        <v>10</v>
      </c>
      <c r="F34" s="661">
        <v>10</v>
      </c>
      <c r="G34" s="661">
        <v>1</v>
      </c>
      <c r="H34" s="661">
        <v>1</v>
      </c>
      <c r="I34" s="661">
        <v>1</v>
      </c>
      <c r="J34" s="661">
        <v>1</v>
      </c>
      <c r="K34" s="661">
        <v>1</v>
      </c>
      <c r="L34" s="661">
        <v>1</v>
      </c>
      <c r="M34" s="661">
        <v>1</v>
      </c>
      <c r="N34" s="661">
        <v>1</v>
      </c>
      <c r="O34" s="661">
        <v>1</v>
      </c>
      <c r="P34" s="661">
        <v>1</v>
      </c>
      <c r="Q34" s="644">
        <f t="shared" si="0"/>
        <v>100</v>
      </c>
      <c r="R34" s="644">
        <f t="shared" si="0"/>
        <v>100</v>
      </c>
    </row>
    <row r="35" spans="1:18" s="405" customFormat="1" ht="25.5">
      <c r="A35" s="455"/>
      <c r="B35" s="456" t="s">
        <v>1003</v>
      </c>
      <c r="C35" s="458"/>
      <c r="D35" s="661">
        <v>1</v>
      </c>
      <c r="E35" s="661">
        <v>1</v>
      </c>
      <c r="F35" s="661">
        <v>1</v>
      </c>
      <c r="G35" s="661"/>
      <c r="H35" s="661"/>
      <c r="I35" s="661"/>
      <c r="J35" s="661">
        <v>1</v>
      </c>
      <c r="K35" s="1623"/>
      <c r="L35" s="1623"/>
      <c r="M35" s="1623"/>
      <c r="N35" s="1623"/>
      <c r="O35" s="1623"/>
      <c r="P35" s="1623"/>
      <c r="Q35" s="644">
        <f t="shared" si="0"/>
        <v>100</v>
      </c>
      <c r="R35" s="644">
        <f t="shared" si="0"/>
        <v>100</v>
      </c>
    </row>
    <row r="36" spans="1:18" s="1618" customFormat="1" ht="36">
      <c r="A36" s="1616"/>
      <c r="B36" s="1617" t="s">
        <v>1004</v>
      </c>
      <c r="C36" s="663" t="s">
        <v>1005</v>
      </c>
      <c r="D36" s="655">
        <v>130</v>
      </c>
      <c r="E36" s="655">
        <v>130</v>
      </c>
      <c r="F36" s="655">
        <f>SUM(G36:P36)</f>
        <v>130</v>
      </c>
      <c r="G36" s="655">
        <v>9</v>
      </c>
      <c r="H36" s="655">
        <v>25</v>
      </c>
      <c r="I36" s="655">
        <v>14</v>
      </c>
      <c r="J36" s="655">
        <v>19</v>
      </c>
      <c r="K36" s="655">
        <v>10</v>
      </c>
      <c r="L36" s="655">
        <v>12</v>
      </c>
      <c r="M36" s="655">
        <v>3</v>
      </c>
      <c r="N36" s="655">
        <v>12</v>
      </c>
      <c r="O36" s="655">
        <v>11</v>
      </c>
      <c r="P36" s="655">
        <v>15</v>
      </c>
      <c r="Q36" s="658">
        <f t="shared" si="0"/>
        <v>100</v>
      </c>
      <c r="R36" s="658">
        <f t="shared" si="0"/>
        <v>100</v>
      </c>
    </row>
    <row r="37" spans="1:18" s="405" customFormat="1" ht="36">
      <c r="A37" s="455" t="s">
        <v>968</v>
      </c>
      <c r="B37" s="456" t="s">
        <v>1006</v>
      </c>
      <c r="C37" s="458" t="s">
        <v>1005</v>
      </c>
      <c r="D37" s="661">
        <v>57</v>
      </c>
      <c r="E37" s="661">
        <v>57</v>
      </c>
      <c r="F37" s="661">
        <f>SUM(G37:P37)</f>
        <v>59</v>
      </c>
      <c r="G37" s="660">
        <v>9</v>
      </c>
      <c r="H37" s="660">
        <v>10</v>
      </c>
      <c r="I37" s="660">
        <v>8</v>
      </c>
      <c r="J37" s="650">
        <v>5</v>
      </c>
      <c r="K37" s="660">
        <v>7</v>
      </c>
      <c r="L37" s="650">
        <v>3</v>
      </c>
      <c r="M37" s="660">
        <v>3</v>
      </c>
      <c r="N37" s="660">
        <v>5</v>
      </c>
      <c r="O37" s="660">
        <v>0</v>
      </c>
      <c r="P37" s="660">
        <v>9</v>
      </c>
      <c r="Q37" s="644">
        <f t="shared" si="0"/>
        <v>100</v>
      </c>
      <c r="R37" s="645">
        <f t="shared" si="0"/>
        <v>103.50877192982458</v>
      </c>
    </row>
    <row r="38" spans="1:18" s="1618" customFormat="1" ht="15.75">
      <c r="A38" s="1616"/>
      <c r="B38" s="1617" t="s">
        <v>1007</v>
      </c>
      <c r="C38" s="663" t="s">
        <v>21</v>
      </c>
      <c r="D38" s="664">
        <f>D37/D36*100</f>
        <v>43.84615384615385</v>
      </c>
      <c r="E38" s="664">
        <f aca="true" t="shared" si="6" ref="E38:P38">E37/E36*100</f>
        <v>43.84615384615385</v>
      </c>
      <c r="F38" s="664">
        <f t="shared" si="6"/>
        <v>45.38461538461539</v>
      </c>
      <c r="G38" s="664">
        <f t="shared" si="6"/>
        <v>100</v>
      </c>
      <c r="H38" s="664">
        <f t="shared" si="6"/>
        <v>40</v>
      </c>
      <c r="I38" s="664">
        <f t="shared" si="6"/>
        <v>57.14285714285714</v>
      </c>
      <c r="J38" s="664">
        <f t="shared" si="6"/>
        <v>26.31578947368421</v>
      </c>
      <c r="K38" s="664">
        <f t="shared" si="6"/>
        <v>70</v>
      </c>
      <c r="L38" s="664">
        <f t="shared" si="6"/>
        <v>25</v>
      </c>
      <c r="M38" s="664">
        <f t="shared" si="6"/>
        <v>100</v>
      </c>
      <c r="N38" s="664">
        <f t="shared" si="6"/>
        <v>41.66666666666667</v>
      </c>
      <c r="O38" s="664">
        <f t="shared" si="6"/>
        <v>0</v>
      </c>
      <c r="P38" s="664">
        <f t="shared" si="6"/>
        <v>60</v>
      </c>
      <c r="Q38" s="658">
        <f>E38-D38</f>
        <v>0</v>
      </c>
      <c r="R38" s="648">
        <f>F38-E38</f>
        <v>1.53846153846154</v>
      </c>
    </row>
    <row r="39" spans="1:18" s="405" customFormat="1" ht="15.75">
      <c r="A39" s="455" t="s">
        <v>972</v>
      </c>
      <c r="B39" s="456" t="s">
        <v>1008</v>
      </c>
      <c r="C39" s="458" t="s">
        <v>1009</v>
      </c>
      <c r="D39" s="661">
        <v>41</v>
      </c>
      <c r="E39" s="661">
        <v>41</v>
      </c>
      <c r="F39" s="661">
        <f>SUM(G39:P39)</f>
        <v>41</v>
      </c>
      <c r="G39" s="661">
        <v>0</v>
      </c>
      <c r="H39" s="661">
        <v>6</v>
      </c>
      <c r="I39" s="661">
        <v>0</v>
      </c>
      <c r="J39" s="661">
        <v>19</v>
      </c>
      <c r="K39" s="661">
        <v>0</v>
      </c>
      <c r="L39" s="661">
        <v>12</v>
      </c>
      <c r="M39" s="661">
        <v>0</v>
      </c>
      <c r="N39" s="661">
        <v>0</v>
      </c>
      <c r="O39" s="661">
        <v>0</v>
      </c>
      <c r="P39" s="661">
        <v>4</v>
      </c>
      <c r="Q39" s="644">
        <f t="shared" si="0"/>
        <v>100</v>
      </c>
      <c r="R39" s="644">
        <f t="shared" si="0"/>
        <v>100</v>
      </c>
    </row>
    <row r="40" spans="1:18" s="1618" customFormat="1" ht="25.5">
      <c r="A40" s="1616"/>
      <c r="B40" s="662" t="s">
        <v>1010</v>
      </c>
      <c r="C40" s="663" t="s">
        <v>21</v>
      </c>
      <c r="D40" s="664">
        <f>D39/D36*100</f>
        <v>31.538461538461537</v>
      </c>
      <c r="E40" s="664">
        <f aca="true" t="shared" si="7" ref="E40:P40">E39/E36*100</f>
        <v>31.538461538461537</v>
      </c>
      <c r="F40" s="664">
        <f t="shared" si="7"/>
        <v>31.538461538461537</v>
      </c>
      <c r="G40" s="664">
        <f t="shared" si="7"/>
        <v>0</v>
      </c>
      <c r="H40" s="664">
        <f t="shared" si="7"/>
        <v>24</v>
      </c>
      <c r="I40" s="664">
        <f t="shared" si="7"/>
        <v>0</v>
      </c>
      <c r="J40" s="664">
        <f t="shared" si="7"/>
        <v>100</v>
      </c>
      <c r="K40" s="664">
        <f t="shared" si="7"/>
        <v>0</v>
      </c>
      <c r="L40" s="664">
        <f t="shared" si="7"/>
        <v>100</v>
      </c>
      <c r="M40" s="664">
        <f t="shared" si="7"/>
        <v>0</v>
      </c>
      <c r="N40" s="664">
        <f t="shared" si="7"/>
        <v>0</v>
      </c>
      <c r="O40" s="664">
        <f t="shared" si="7"/>
        <v>0</v>
      </c>
      <c r="P40" s="664">
        <f t="shared" si="7"/>
        <v>26.666666666666668</v>
      </c>
      <c r="Q40" s="658">
        <f>E40-D40</f>
        <v>0</v>
      </c>
      <c r="R40" s="658">
        <f>F40-E40</f>
        <v>0</v>
      </c>
    </row>
    <row r="41" spans="1:18" s="405" customFormat="1" ht="24">
      <c r="A41" s="455" t="s">
        <v>975</v>
      </c>
      <c r="B41" s="459" t="s">
        <v>1011</v>
      </c>
      <c r="C41" s="458" t="s">
        <v>1012</v>
      </c>
      <c r="D41" s="661">
        <v>6</v>
      </c>
      <c r="E41" s="650">
        <v>6</v>
      </c>
      <c r="F41" s="661">
        <f>SUM(G41:P41)</f>
        <v>6</v>
      </c>
      <c r="G41" s="661">
        <v>0</v>
      </c>
      <c r="H41" s="661">
        <v>2</v>
      </c>
      <c r="I41" s="661">
        <v>0</v>
      </c>
      <c r="J41" s="661">
        <v>0</v>
      </c>
      <c r="K41" s="661">
        <v>0</v>
      </c>
      <c r="L41" s="661">
        <v>1</v>
      </c>
      <c r="M41" s="661">
        <v>0</v>
      </c>
      <c r="N41" s="661">
        <v>0</v>
      </c>
      <c r="O41" s="661">
        <v>0</v>
      </c>
      <c r="P41" s="661">
        <v>3</v>
      </c>
      <c r="Q41" s="644">
        <f t="shared" si="0"/>
        <v>100</v>
      </c>
      <c r="R41" s="644">
        <f t="shared" si="0"/>
        <v>100</v>
      </c>
    </row>
    <row r="42" spans="1:18" s="1618" customFormat="1" ht="25.5">
      <c r="A42" s="1616"/>
      <c r="B42" s="662" t="s">
        <v>1013</v>
      </c>
      <c r="C42" s="663" t="s">
        <v>21</v>
      </c>
      <c r="D42" s="665">
        <f>D41/D36*100</f>
        <v>4.615384615384616</v>
      </c>
      <c r="E42" s="665">
        <f aca="true" t="shared" si="8" ref="E42:P42">E41/E36*100</f>
        <v>4.615384615384616</v>
      </c>
      <c r="F42" s="665">
        <f t="shared" si="8"/>
        <v>4.615384615384616</v>
      </c>
      <c r="G42" s="665">
        <f t="shared" si="8"/>
        <v>0</v>
      </c>
      <c r="H42" s="665">
        <f t="shared" si="8"/>
        <v>8</v>
      </c>
      <c r="I42" s="665">
        <f t="shared" si="8"/>
        <v>0</v>
      </c>
      <c r="J42" s="665">
        <f t="shared" si="8"/>
        <v>0</v>
      </c>
      <c r="K42" s="665">
        <f t="shared" si="8"/>
        <v>0</v>
      </c>
      <c r="L42" s="665">
        <f t="shared" si="8"/>
        <v>8.333333333333332</v>
      </c>
      <c r="M42" s="665">
        <f t="shared" si="8"/>
        <v>0</v>
      </c>
      <c r="N42" s="665">
        <f t="shared" si="8"/>
        <v>0</v>
      </c>
      <c r="O42" s="665">
        <f t="shared" si="8"/>
        <v>0</v>
      </c>
      <c r="P42" s="665">
        <f t="shared" si="8"/>
        <v>20</v>
      </c>
      <c r="Q42" s="658">
        <f>E42-D42</f>
        <v>0</v>
      </c>
      <c r="R42" s="658">
        <f>F42-E42</f>
        <v>0</v>
      </c>
    </row>
    <row r="43" spans="1:18" s="405" customFormat="1" ht="25.5">
      <c r="A43" s="455" t="s">
        <v>979</v>
      </c>
      <c r="B43" s="459" t="s">
        <v>1014</v>
      </c>
      <c r="C43" s="458" t="s">
        <v>1015</v>
      </c>
      <c r="D43" s="661">
        <v>428</v>
      </c>
      <c r="E43" s="661">
        <v>513</v>
      </c>
      <c r="F43" s="661">
        <f>SUM(G43:P43)</f>
        <v>513</v>
      </c>
      <c r="G43" s="660">
        <v>123</v>
      </c>
      <c r="H43" s="660">
        <v>120</v>
      </c>
      <c r="I43" s="660">
        <v>31</v>
      </c>
      <c r="J43" s="650">
        <v>59</v>
      </c>
      <c r="K43" s="660">
        <v>18</v>
      </c>
      <c r="L43" s="650">
        <v>47</v>
      </c>
      <c r="M43" s="660">
        <v>46</v>
      </c>
      <c r="N43" s="660">
        <v>11</v>
      </c>
      <c r="O43" s="660">
        <v>30</v>
      </c>
      <c r="P43" s="660">
        <v>28</v>
      </c>
      <c r="Q43" s="645">
        <f t="shared" si="0"/>
        <v>119.85981308411215</v>
      </c>
      <c r="R43" s="645">
        <f t="shared" si="0"/>
        <v>100</v>
      </c>
    </row>
    <row r="44" spans="1:18" s="1618" customFormat="1" ht="38.25">
      <c r="A44" s="1616"/>
      <c r="B44" s="1617" t="s">
        <v>1016</v>
      </c>
      <c r="C44" s="663" t="s">
        <v>21</v>
      </c>
      <c r="D44" s="664">
        <f>D43/D15*100</f>
        <v>24.35970404097894</v>
      </c>
      <c r="E44" s="664">
        <f aca="true" t="shared" si="9" ref="E44:P44">E43/E15*100</f>
        <v>28.295642581356866</v>
      </c>
      <c r="F44" s="664">
        <f t="shared" si="9"/>
        <v>28.280044101433297</v>
      </c>
      <c r="G44" s="664">
        <f t="shared" si="9"/>
        <v>75</v>
      </c>
      <c r="H44" s="664">
        <f t="shared" si="9"/>
        <v>25.806451612903224</v>
      </c>
      <c r="I44" s="664">
        <f t="shared" si="9"/>
        <v>12.757201646090536</v>
      </c>
      <c r="J44" s="664">
        <f t="shared" si="9"/>
        <v>24.894514767932492</v>
      </c>
      <c r="K44" s="664">
        <f t="shared" si="9"/>
        <v>12.949640287769784</v>
      </c>
      <c r="L44" s="664">
        <f t="shared" si="9"/>
        <v>32.86713286713287</v>
      </c>
      <c r="M44" s="664">
        <f t="shared" si="9"/>
        <v>93.87755102040816</v>
      </c>
      <c r="N44" s="664">
        <f t="shared" si="9"/>
        <v>8.870967741935484</v>
      </c>
      <c r="O44" s="664">
        <f t="shared" si="9"/>
        <v>25.423728813559322</v>
      </c>
      <c r="P44" s="664">
        <f t="shared" si="9"/>
        <v>21.21212121212121</v>
      </c>
      <c r="Q44" s="648">
        <f>E44-D44</f>
        <v>3.9359385403779257</v>
      </c>
      <c r="R44" s="648">
        <f>F44-E44</f>
        <v>-0.01559847992356822</v>
      </c>
    </row>
    <row r="45" spans="1:18" s="405" customFormat="1" ht="15.75">
      <c r="A45" s="455" t="s">
        <v>981</v>
      </c>
      <c r="B45" s="456" t="s">
        <v>1017</v>
      </c>
      <c r="C45" s="458" t="s">
        <v>1018</v>
      </c>
      <c r="D45" s="661">
        <v>69</v>
      </c>
      <c r="E45" s="661">
        <v>69</v>
      </c>
      <c r="F45" s="661">
        <f>SUM(G45:P45)</f>
        <v>69</v>
      </c>
      <c r="G45" s="661">
        <v>7</v>
      </c>
      <c r="H45" s="661">
        <v>6</v>
      </c>
      <c r="I45" s="661">
        <v>8</v>
      </c>
      <c r="J45" s="661">
        <v>26</v>
      </c>
      <c r="K45" s="661">
        <v>5</v>
      </c>
      <c r="L45" s="661">
        <v>7</v>
      </c>
      <c r="M45" s="661">
        <v>1</v>
      </c>
      <c r="N45" s="661">
        <v>5</v>
      </c>
      <c r="O45" s="661">
        <v>0</v>
      </c>
      <c r="P45" s="661">
        <v>4</v>
      </c>
      <c r="Q45" s="645">
        <f t="shared" si="0"/>
        <v>100</v>
      </c>
      <c r="R45" s="645">
        <f t="shared" si="0"/>
        <v>100</v>
      </c>
    </row>
    <row r="46" spans="1:18" s="1618" customFormat="1" ht="15.75">
      <c r="A46" s="1616"/>
      <c r="B46" s="662" t="s">
        <v>1019</v>
      </c>
      <c r="C46" s="663" t="s">
        <v>21</v>
      </c>
      <c r="D46" s="665">
        <f>D45/D15*100</f>
        <v>3.927148548662493</v>
      </c>
      <c r="E46" s="665">
        <f aca="true" t="shared" si="10" ref="E46:P46">E45/E15*100</f>
        <v>3.8058466629895205</v>
      </c>
      <c r="F46" s="664">
        <f t="shared" si="10"/>
        <v>3.8037486218302092</v>
      </c>
      <c r="G46" s="665">
        <f t="shared" si="10"/>
        <v>4.2682926829268295</v>
      </c>
      <c r="H46" s="665">
        <f t="shared" si="10"/>
        <v>1.2903225806451613</v>
      </c>
      <c r="I46" s="665">
        <f t="shared" si="10"/>
        <v>3.292181069958848</v>
      </c>
      <c r="J46" s="665">
        <f t="shared" si="10"/>
        <v>10.970464135021098</v>
      </c>
      <c r="K46" s="664">
        <f t="shared" si="10"/>
        <v>3.597122302158273</v>
      </c>
      <c r="L46" s="664">
        <f t="shared" si="10"/>
        <v>4.895104895104895</v>
      </c>
      <c r="M46" s="665">
        <f t="shared" si="10"/>
        <v>2.0408163265306123</v>
      </c>
      <c r="N46" s="665">
        <f t="shared" si="10"/>
        <v>4.032258064516129</v>
      </c>
      <c r="O46" s="655">
        <f t="shared" si="10"/>
        <v>0</v>
      </c>
      <c r="P46" s="665">
        <f t="shared" si="10"/>
        <v>3.0303030303030303</v>
      </c>
      <c r="Q46" s="648">
        <f>E46-D46</f>
        <v>-0.12130188567297262</v>
      </c>
      <c r="R46" s="648">
        <f>F46-E46</f>
        <v>-0.002098041159311226</v>
      </c>
    </row>
    <row r="47" spans="1:18" s="405" customFormat="1" ht="15.75">
      <c r="A47" s="1613" t="s">
        <v>132</v>
      </c>
      <c r="B47" s="1614" t="s">
        <v>1020</v>
      </c>
      <c r="C47" s="1615"/>
      <c r="D47" s="1624"/>
      <c r="E47" s="666"/>
      <c r="F47" s="1625"/>
      <c r="G47" s="1625"/>
      <c r="H47" s="1625"/>
      <c r="I47" s="1625"/>
      <c r="J47" s="1625"/>
      <c r="K47" s="1625"/>
      <c r="L47" s="1625"/>
      <c r="M47" s="1625"/>
      <c r="N47" s="1625"/>
      <c r="O47" s="1625"/>
      <c r="P47" s="1625"/>
      <c r="Q47" s="659"/>
      <c r="R47" s="659"/>
    </row>
    <row r="48" spans="1:18" s="405" customFormat="1" ht="38.25">
      <c r="A48" s="455" t="s">
        <v>960</v>
      </c>
      <c r="B48" s="460" t="s">
        <v>1021</v>
      </c>
      <c r="C48" s="457" t="s">
        <v>1022</v>
      </c>
      <c r="D48" s="660">
        <v>11</v>
      </c>
      <c r="E48" s="660">
        <v>11</v>
      </c>
      <c r="F48" s="650">
        <v>15</v>
      </c>
      <c r="G48" s="661"/>
      <c r="H48" s="661"/>
      <c r="I48" s="661"/>
      <c r="J48" s="661"/>
      <c r="K48" s="661"/>
      <c r="L48" s="661"/>
      <c r="M48" s="661"/>
      <c r="N48" s="661"/>
      <c r="O48" s="661"/>
      <c r="P48" s="661"/>
      <c r="Q48" s="644">
        <f t="shared" si="0"/>
        <v>100</v>
      </c>
      <c r="R48" s="645">
        <f t="shared" si="0"/>
        <v>136.36363636363635</v>
      </c>
    </row>
    <row r="49" spans="1:18" s="405" customFormat="1" ht="38.25">
      <c r="A49" s="455" t="s">
        <v>963</v>
      </c>
      <c r="B49" s="460" t="s">
        <v>1023</v>
      </c>
      <c r="C49" s="457" t="s">
        <v>1022</v>
      </c>
      <c r="D49" s="660">
        <v>8</v>
      </c>
      <c r="E49" s="660">
        <v>8</v>
      </c>
      <c r="F49" s="650">
        <v>10</v>
      </c>
      <c r="G49" s="661"/>
      <c r="H49" s="661"/>
      <c r="I49" s="661"/>
      <c r="J49" s="661"/>
      <c r="K49" s="661"/>
      <c r="L49" s="661"/>
      <c r="M49" s="661"/>
      <c r="N49" s="661"/>
      <c r="O49" s="661"/>
      <c r="P49" s="661"/>
      <c r="Q49" s="644">
        <f t="shared" si="0"/>
        <v>100</v>
      </c>
      <c r="R49" s="644">
        <f t="shared" si="0"/>
        <v>125</v>
      </c>
    </row>
    <row r="50" spans="1:18" s="405" customFormat="1" ht="51">
      <c r="A50" s="455" t="s">
        <v>966</v>
      </c>
      <c r="B50" s="460" t="s">
        <v>1024</v>
      </c>
      <c r="C50" s="457" t="s">
        <v>1022</v>
      </c>
      <c r="D50" s="660">
        <v>1</v>
      </c>
      <c r="E50" s="660">
        <v>1</v>
      </c>
      <c r="F50" s="650">
        <v>2</v>
      </c>
      <c r="G50" s="661"/>
      <c r="H50" s="661"/>
      <c r="I50" s="661"/>
      <c r="J50" s="661"/>
      <c r="K50" s="661"/>
      <c r="L50" s="661"/>
      <c r="M50" s="661"/>
      <c r="N50" s="661"/>
      <c r="O50" s="661"/>
      <c r="P50" s="661"/>
      <c r="Q50" s="644">
        <f t="shared" si="0"/>
        <v>100</v>
      </c>
      <c r="R50" s="644">
        <f t="shared" si="0"/>
        <v>200</v>
      </c>
    </row>
    <row r="51" spans="1:18" s="405" customFormat="1" ht="38.25">
      <c r="A51" s="455" t="s">
        <v>968</v>
      </c>
      <c r="B51" s="460" t="s">
        <v>1025</v>
      </c>
      <c r="C51" s="457" t="s">
        <v>1026</v>
      </c>
      <c r="D51" s="650">
        <v>2</v>
      </c>
      <c r="E51" s="650">
        <v>2</v>
      </c>
      <c r="F51" s="650">
        <v>2</v>
      </c>
      <c r="G51" s="661"/>
      <c r="H51" s="661"/>
      <c r="I51" s="661"/>
      <c r="J51" s="661"/>
      <c r="K51" s="661"/>
      <c r="L51" s="661"/>
      <c r="M51" s="661"/>
      <c r="N51" s="661"/>
      <c r="O51" s="661"/>
      <c r="P51" s="661"/>
      <c r="Q51" s="644">
        <f t="shared" si="0"/>
        <v>100</v>
      </c>
      <c r="R51" s="644">
        <f t="shared" si="0"/>
        <v>100</v>
      </c>
    </row>
    <row r="52" spans="1:18" s="405" customFormat="1" ht="25.5">
      <c r="A52" s="455" t="s">
        <v>972</v>
      </c>
      <c r="B52" s="460" t="s">
        <v>1027</v>
      </c>
      <c r="C52" s="1615"/>
      <c r="D52" s="650">
        <v>90</v>
      </c>
      <c r="E52" s="661">
        <v>95</v>
      </c>
      <c r="F52" s="661">
        <v>95</v>
      </c>
      <c r="G52" s="1625"/>
      <c r="H52" s="1625"/>
      <c r="I52" s="1625"/>
      <c r="J52" s="1625"/>
      <c r="K52" s="1625"/>
      <c r="L52" s="1625"/>
      <c r="M52" s="1625"/>
      <c r="N52" s="1625"/>
      <c r="O52" s="1625"/>
      <c r="P52" s="1625"/>
      <c r="Q52" s="645">
        <f>E52-D52</f>
        <v>5</v>
      </c>
      <c r="R52" s="645">
        <f>F52-E52</f>
        <v>0</v>
      </c>
    </row>
    <row r="53" spans="1:18" s="405" customFormat="1" ht="38.25">
      <c r="A53" s="455" t="s">
        <v>975</v>
      </c>
      <c r="B53" s="460" t="s">
        <v>1028</v>
      </c>
      <c r="C53" s="1615"/>
      <c r="D53" s="1626">
        <v>26.3</v>
      </c>
      <c r="E53" s="667">
        <v>57.8</v>
      </c>
      <c r="F53" s="667">
        <v>57.8</v>
      </c>
      <c r="G53" s="1625"/>
      <c r="H53" s="1625"/>
      <c r="I53" s="1625"/>
      <c r="J53" s="1625"/>
      <c r="K53" s="1625"/>
      <c r="L53" s="1625"/>
      <c r="M53" s="1625"/>
      <c r="N53" s="1625"/>
      <c r="O53" s="1625"/>
      <c r="P53" s="1625"/>
      <c r="Q53" s="645">
        <f>E53-D53</f>
        <v>31.499999999999996</v>
      </c>
      <c r="R53" s="645">
        <f>F53-E53</f>
        <v>0</v>
      </c>
    </row>
    <row r="54" spans="1:18" s="405" customFormat="1" ht="25.5">
      <c r="A54" s="455" t="s">
        <v>979</v>
      </c>
      <c r="B54" s="456" t="s">
        <v>1029</v>
      </c>
      <c r="C54" s="458" t="s">
        <v>1030</v>
      </c>
      <c r="D54" s="644">
        <v>312750</v>
      </c>
      <c r="E54" s="644">
        <v>350000</v>
      </c>
      <c r="F54" s="644">
        <v>450000</v>
      </c>
      <c r="G54" s="650"/>
      <c r="H54" s="650"/>
      <c r="I54" s="650"/>
      <c r="J54" s="660"/>
      <c r="K54" s="660"/>
      <c r="L54" s="660"/>
      <c r="M54" s="660"/>
      <c r="N54" s="660"/>
      <c r="O54" s="660"/>
      <c r="P54" s="660"/>
      <c r="Q54" s="645">
        <f t="shared" si="0"/>
        <v>111.91047162270185</v>
      </c>
      <c r="R54" s="645">
        <f t="shared" si="0"/>
        <v>128.57142857142858</v>
      </c>
    </row>
    <row r="55" spans="1:18" s="1618" customFormat="1" ht="15.75">
      <c r="A55" s="1616"/>
      <c r="B55" s="1617" t="s">
        <v>1031</v>
      </c>
      <c r="C55" s="663" t="s">
        <v>977</v>
      </c>
      <c r="D55" s="654">
        <v>18930</v>
      </c>
      <c r="E55" s="654">
        <v>19000</v>
      </c>
      <c r="F55" s="654">
        <v>20000</v>
      </c>
      <c r="G55" s="654"/>
      <c r="H55" s="654"/>
      <c r="I55" s="654"/>
      <c r="J55" s="1627"/>
      <c r="K55" s="1627"/>
      <c r="L55" s="1627"/>
      <c r="M55" s="1627"/>
      <c r="N55" s="1627"/>
      <c r="O55" s="1627"/>
      <c r="P55" s="1627"/>
      <c r="Q55" s="648">
        <f t="shared" si="0"/>
        <v>100.36978341257263</v>
      </c>
      <c r="R55" s="648">
        <f t="shared" si="0"/>
        <v>105.26315789473684</v>
      </c>
    </row>
    <row r="56" spans="1:18" s="405" customFormat="1" ht="25.5">
      <c r="A56" s="455" t="s">
        <v>981</v>
      </c>
      <c r="B56" s="1628" t="s">
        <v>1032</v>
      </c>
      <c r="C56" s="458" t="s">
        <v>1033</v>
      </c>
      <c r="D56" s="644">
        <v>9050</v>
      </c>
      <c r="E56" s="644">
        <v>9315</v>
      </c>
      <c r="F56" s="644">
        <v>9585</v>
      </c>
      <c r="G56" s="661"/>
      <c r="H56" s="661"/>
      <c r="I56" s="660"/>
      <c r="J56" s="660"/>
      <c r="K56" s="660"/>
      <c r="L56" s="660"/>
      <c r="M56" s="660"/>
      <c r="N56" s="660"/>
      <c r="O56" s="660"/>
      <c r="P56" s="660"/>
      <c r="Q56" s="645">
        <f t="shared" si="0"/>
        <v>102.9281767955801</v>
      </c>
      <c r="R56" s="645">
        <f t="shared" si="0"/>
        <v>102.89855072463767</v>
      </c>
    </row>
    <row r="57" spans="1:18" s="405" customFormat="1" ht="25.5">
      <c r="A57" s="455" t="s">
        <v>984</v>
      </c>
      <c r="B57" s="456" t="s">
        <v>1034</v>
      </c>
      <c r="C57" s="458" t="s">
        <v>1033</v>
      </c>
      <c r="D57" s="660">
        <v>300</v>
      </c>
      <c r="E57" s="660">
        <v>265</v>
      </c>
      <c r="F57" s="660">
        <v>270</v>
      </c>
      <c r="G57" s="650"/>
      <c r="H57" s="660"/>
      <c r="I57" s="660"/>
      <c r="J57" s="660"/>
      <c r="K57" s="660"/>
      <c r="L57" s="660"/>
      <c r="M57" s="660"/>
      <c r="N57" s="660"/>
      <c r="O57" s="660"/>
      <c r="P57" s="660"/>
      <c r="Q57" s="645">
        <f t="shared" si="0"/>
        <v>88.33333333333333</v>
      </c>
      <c r="R57" s="645">
        <f t="shared" si="0"/>
        <v>101.88679245283019</v>
      </c>
    </row>
    <row r="58" spans="1:18" s="405" customFormat="1" ht="25.5">
      <c r="A58" s="455" t="s">
        <v>987</v>
      </c>
      <c r="B58" s="456" t="s">
        <v>1035</v>
      </c>
      <c r="C58" s="458" t="s">
        <v>1036</v>
      </c>
      <c r="D58" s="660">
        <v>21</v>
      </c>
      <c r="E58" s="660">
        <v>22</v>
      </c>
      <c r="F58" s="660">
        <v>25</v>
      </c>
      <c r="G58" s="660"/>
      <c r="H58" s="660"/>
      <c r="I58" s="660"/>
      <c r="J58" s="660"/>
      <c r="K58" s="660"/>
      <c r="L58" s="660"/>
      <c r="M58" s="660"/>
      <c r="N58" s="660"/>
      <c r="O58" s="660"/>
      <c r="P58" s="660"/>
      <c r="Q58" s="645">
        <f t="shared" si="0"/>
        <v>104.76190476190477</v>
      </c>
      <c r="R58" s="645">
        <f t="shared" si="0"/>
        <v>113.63636363636364</v>
      </c>
    </row>
    <row r="59" spans="1:18" s="1618" customFormat="1" ht="25.5">
      <c r="A59" s="1616"/>
      <c r="B59" s="1617" t="s">
        <v>1037</v>
      </c>
      <c r="C59" s="663" t="s">
        <v>1036</v>
      </c>
      <c r="D59" s="655">
        <v>2</v>
      </c>
      <c r="E59" s="655">
        <v>1</v>
      </c>
      <c r="F59" s="655">
        <v>3</v>
      </c>
      <c r="G59" s="655"/>
      <c r="H59" s="655"/>
      <c r="I59" s="655"/>
      <c r="J59" s="655"/>
      <c r="K59" s="655"/>
      <c r="L59" s="655"/>
      <c r="M59" s="655"/>
      <c r="N59" s="655"/>
      <c r="O59" s="655"/>
      <c r="P59" s="655"/>
      <c r="Q59" s="658">
        <f t="shared" si="0"/>
        <v>50</v>
      </c>
      <c r="R59" s="658">
        <f t="shared" si="0"/>
        <v>300</v>
      </c>
    </row>
    <row r="60" spans="1:18" s="405" customFormat="1" ht="15.75">
      <c r="A60" s="1613" t="s">
        <v>91</v>
      </c>
      <c r="B60" s="1614" t="s">
        <v>1038</v>
      </c>
      <c r="C60" s="458"/>
      <c r="D60" s="1625"/>
      <c r="E60" s="668"/>
      <c r="F60" s="668"/>
      <c r="G60" s="668"/>
      <c r="H60" s="668"/>
      <c r="I60" s="668"/>
      <c r="J60" s="668"/>
      <c r="K60" s="668"/>
      <c r="L60" s="668"/>
      <c r="M60" s="668"/>
      <c r="N60" s="668"/>
      <c r="O60" s="668"/>
      <c r="P60" s="668"/>
      <c r="Q60" s="659"/>
      <c r="R60" s="659"/>
    </row>
    <row r="61" spans="1:18" s="405" customFormat="1" ht="15.75">
      <c r="A61" s="1613" t="s">
        <v>107</v>
      </c>
      <c r="B61" s="1614" t="s">
        <v>1039</v>
      </c>
      <c r="C61" s="458"/>
      <c r="D61" s="661"/>
      <c r="E61" s="668"/>
      <c r="F61" s="650"/>
      <c r="G61" s="668"/>
      <c r="H61" s="668"/>
      <c r="I61" s="668"/>
      <c r="J61" s="668"/>
      <c r="K61" s="668"/>
      <c r="L61" s="668"/>
      <c r="M61" s="668"/>
      <c r="N61" s="668"/>
      <c r="O61" s="668"/>
      <c r="P61" s="668"/>
      <c r="Q61" s="659"/>
      <c r="R61" s="659"/>
    </row>
    <row r="62" spans="1:18" s="405" customFormat="1" ht="25.5">
      <c r="A62" s="455" t="s">
        <v>960</v>
      </c>
      <c r="B62" s="456" t="s">
        <v>1040</v>
      </c>
      <c r="C62" s="458" t="s">
        <v>196</v>
      </c>
      <c r="D62" s="650">
        <v>149730</v>
      </c>
      <c r="E62" s="669">
        <v>157520</v>
      </c>
      <c r="F62" s="650">
        <f>SUM(G62:P62)</f>
        <v>164860</v>
      </c>
      <c r="G62" s="670">
        <v>22700</v>
      </c>
      <c r="H62" s="670">
        <v>34500</v>
      </c>
      <c r="I62" s="670">
        <v>17550</v>
      </c>
      <c r="J62" s="670">
        <v>25345</v>
      </c>
      <c r="K62" s="670">
        <v>14720</v>
      </c>
      <c r="L62" s="670">
        <v>14395</v>
      </c>
      <c r="M62" s="670">
        <v>3340</v>
      </c>
      <c r="N62" s="670">
        <v>12345</v>
      </c>
      <c r="O62" s="670">
        <v>9030</v>
      </c>
      <c r="P62" s="670">
        <v>10935</v>
      </c>
      <c r="Q62" s="645">
        <f t="shared" si="0"/>
        <v>105.20269819007547</v>
      </c>
      <c r="R62" s="645">
        <f t="shared" si="0"/>
        <v>104.65972574911122</v>
      </c>
    </row>
    <row r="63" spans="1:18" s="1618" customFormat="1" ht="38.25">
      <c r="A63" s="1616"/>
      <c r="B63" s="1617" t="s">
        <v>1041</v>
      </c>
      <c r="C63" s="663" t="s">
        <v>21</v>
      </c>
      <c r="D63" s="647">
        <v>26.4</v>
      </c>
      <c r="E63" s="647">
        <f>E62/576658*100</f>
        <v>27.31601746615845</v>
      </c>
      <c r="F63" s="647">
        <v>28.6</v>
      </c>
      <c r="G63" s="647">
        <v>38.8</v>
      </c>
      <c r="H63" s="647">
        <v>29.8</v>
      </c>
      <c r="I63" s="647">
        <v>27</v>
      </c>
      <c r="J63" s="647">
        <v>30</v>
      </c>
      <c r="K63" s="647">
        <v>27.4</v>
      </c>
      <c r="L63" s="647">
        <v>30.6</v>
      </c>
      <c r="M63" s="647">
        <v>7.1</v>
      </c>
      <c r="N63" s="647">
        <v>28.9</v>
      </c>
      <c r="O63" s="647">
        <v>17.3</v>
      </c>
      <c r="P63" s="647">
        <v>9.6</v>
      </c>
      <c r="Q63" s="648">
        <f>E63-D63</f>
        <v>0.9160174661584506</v>
      </c>
      <c r="R63" s="648">
        <f>F63-E63</f>
        <v>1.2839825338415523</v>
      </c>
    </row>
    <row r="64" spans="1:18" s="405" customFormat="1" ht="15.75">
      <c r="A64" s="455" t="s">
        <v>963</v>
      </c>
      <c r="B64" s="456" t="s">
        <v>1042</v>
      </c>
      <c r="C64" s="458" t="s">
        <v>1043</v>
      </c>
      <c r="D64" s="650">
        <v>19250</v>
      </c>
      <c r="E64" s="650">
        <v>20256</v>
      </c>
      <c r="F64" s="650">
        <f>SUM(G64:P64)</f>
        <v>21280</v>
      </c>
      <c r="G64" s="670">
        <v>4330</v>
      </c>
      <c r="H64" s="670">
        <v>4800</v>
      </c>
      <c r="I64" s="670">
        <v>2053</v>
      </c>
      <c r="J64" s="670">
        <v>3270</v>
      </c>
      <c r="K64" s="670">
        <v>1685</v>
      </c>
      <c r="L64" s="670">
        <v>1630</v>
      </c>
      <c r="M64" s="671">
        <v>195</v>
      </c>
      <c r="N64" s="670">
        <v>1300</v>
      </c>
      <c r="O64" s="671">
        <v>1030</v>
      </c>
      <c r="P64" s="671">
        <v>987</v>
      </c>
      <c r="Q64" s="645">
        <f t="shared" si="0"/>
        <v>105.22597402597403</v>
      </c>
      <c r="R64" s="645">
        <f t="shared" si="0"/>
        <v>105.05529225908373</v>
      </c>
    </row>
    <row r="65" spans="1:18" s="1618" customFormat="1" ht="25.5">
      <c r="A65" s="1616"/>
      <c r="B65" s="1617" t="s">
        <v>1044</v>
      </c>
      <c r="C65" s="663" t="s">
        <v>21</v>
      </c>
      <c r="D65" s="647">
        <v>16.2</v>
      </c>
      <c r="E65" s="647">
        <v>16.8</v>
      </c>
      <c r="F65" s="647">
        <v>16.9</v>
      </c>
      <c r="G65" s="647">
        <v>29.4</v>
      </c>
      <c r="H65" s="647">
        <v>17.1</v>
      </c>
      <c r="I65" s="647">
        <v>16.3</v>
      </c>
      <c r="J65" s="647">
        <v>18</v>
      </c>
      <c r="K65" s="647">
        <v>15.4</v>
      </c>
      <c r="L65" s="647">
        <v>14.4</v>
      </c>
      <c r="M65" s="647">
        <v>6.3</v>
      </c>
      <c r="N65" s="647">
        <v>14.6</v>
      </c>
      <c r="O65" s="647">
        <v>12.4</v>
      </c>
      <c r="P65" s="647">
        <v>10.2</v>
      </c>
      <c r="Q65" s="648">
        <f>E65-D65</f>
        <v>0.6000000000000014</v>
      </c>
      <c r="R65" s="648">
        <f>F65-E65</f>
        <v>0.09999999999999787</v>
      </c>
    </row>
    <row r="66" spans="1:18" s="405" customFormat="1" ht="15.75">
      <c r="A66" s="455" t="s">
        <v>966</v>
      </c>
      <c r="B66" s="456" t="s">
        <v>1045</v>
      </c>
      <c r="C66" s="458" t="s">
        <v>995</v>
      </c>
      <c r="D66" s="650">
        <v>370</v>
      </c>
      <c r="E66" s="650">
        <v>380</v>
      </c>
      <c r="F66" s="650">
        <f>SUM(G66:P66)</f>
        <v>390</v>
      </c>
      <c r="G66" s="672">
        <v>71</v>
      </c>
      <c r="H66" s="672">
        <v>53</v>
      </c>
      <c r="I66" s="672">
        <v>52</v>
      </c>
      <c r="J66" s="672">
        <v>59</v>
      </c>
      <c r="K66" s="672">
        <v>48</v>
      </c>
      <c r="L66" s="672">
        <v>29</v>
      </c>
      <c r="M66" s="672">
        <v>23</v>
      </c>
      <c r="N66" s="673">
        <v>19</v>
      </c>
      <c r="O66" s="672">
        <v>18</v>
      </c>
      <c r="P66" s="673">
        <v>18</v>
      </c>
      <c r="Q66" s="645">
        <f t="shared" si="0"/>
        <v>102.7027027027027</v>
      </c>
      <c r="R66" s="645">
        <f t="shared" si="0"/>
        <v>102.63157894736842</v>
      </c>
    </row>
    <row r="67" spans="1:18" s="405" customFormat="1" ht="15.75">
      <c r="A67" s="1613" t="s">
        <v>117</v>
      </c>
      <c r="B67" s="1614" t="s">
        <v>1046</v>
      </c>
      <c r="C67" s="458"/>
      <c r="D67" s="1625"/>
      <c r="E67" s="668"/>
      <c r="F67" s="668"/>
      <c r="G67" s="668"/>
      <c r="H67" s="668"/>
      <c r="I67" s="668"/>
      <c r="J67" s="668"/>
      <c r="K67" s="668"/>
      <c r="L67" s="668"/>
      <c r="M67" s="668"/>
      <c r="N67" s="668"/>
      <c r="O67" s="668"/>
      <c r="P67" s="668"/>
      <c r="Q67" s="645"/>
      <c r="R67" s="645"/>
    </row>
    <row r="68" spans="1:18" s="405" customFormat="1" ht="15.75">
      <c r="A68" s="455" t="s">
        <v>960</v>
      </c>
      <c r="B68" s="456" t="s">
        <v>1047</v>
      </c>
      <c r="C68" s="458" t="s">
        <v>1048</v>
      </c>
      <c r="D68" s="650">
        <v>1</v>
      </c>
      <c r="E68" s="650">
        <v>1</v>
      </c>
      <c r="F68" s="650">
        <v>0</v>
      </c>
      <c r="G68" s="650"/>
      <c r="H68" s="650"/>
      <c r="I68" s="650"/>
      <c r="J68" s="650"/>
      <c r="K68" s="650"/>
      <c r="L68" s="650"/>
      <c r="M68" s="650"/>
      <c r="N68" s="650"/>
      <c r="O68" s="650"/>
      <c r="P68" s="650"/>
      <c r="Q68" s="645">
        <f t="shared" si="0"/>
        <v>100</v>
      </c>
      <c r="R68" s="645">
        <f t="shared" si="0"/>
        <v>0</v>
      </c>
    </row>
    <row r="69" spans="1:18" s="405" customFormat="1" ht="15.75">
      <c r="A69" s="455" t="s">
        <v>963</v>
      </c>
      <c r="B69" s="456" t="s">
        <v>1049</v>
      </c>
      <c r="C69" s="458" t="s">
        <v>1048</v>
      </c>
      <c r="D69" s="650">
        <v>7</v>
      </c>
      <c r="E69" s="650">
        <v>4</v>
      </c>
      <c r="F69" s="650">
        <v>3</v>
      </c>
      <c r="G69" s="650"/>
      <c r="H69" s="650"/>
      <c r="I69" s="650"/>
      <c r="J69" s="650"/>
      <c r="K69" s="650"/>
      <c r="L69" s="650"/>
      <c r="M69" s="650"/>
      <c r="N69" s="650"/>
      <c r="O69" s="650"/>
      <c r="P69" s="650"/>
      <c r="Q69" s="645">
        <f t="shared" si="0"/>
        <v>57.14285714285714</v>
      </c>
      <c r="R69" s="645">
        <f t="shared" si="0"/>
        <v>75</v>
      </c>
    </row>
    <row r="70" spans="1:18" s="405" customFormat="1" ht="25.5">
      <c r="A70" s="455" t="s">
        <v>966</v>
      </c>
      <c r="B70" s="456" t="s">
        <v>1050</v>
      </c>
      <c r="C70" s="458" t="s">
        <v>1051</v>
      </c>
      <c r="D70" s="650">
        <v>61</v>
      </c>
      <c r="E70" s="650">
        <v>45</v>
      </c>
      <c r="F70" s="650">
        <v>29</v>
      </c>
      <c r="G70" s="650"/>
      <c r="H70" s="1629"/>
      <c r="I70" s="650"/>
      <c r="J70" s="650"/>
      <c r="K70" s="650"/>
      <c r="L70" s="650"/>
      <c r="M70" s="650"/>
      <c r="N70" s="650"/>
      <c r="O70" s="650"/>
      <c r="P70" s="650"/>
      <c r="Q70" s="645">
        <f t="shared" si="0"/>
        <v>73.77049180327869</v>
      </c>
      <c r="R70" s="645">
        <f t="shared" si="0"/>
        <v>64.44444444444444</v>
      </c>
    </row>
    <row r="71" spans="1:18" s="405" customFormat="1" ht="15.75">
      <c r="A71" s="455" t="s">
        <v>968</v>
      </c>
      <c r="B71" s="456" t="s">
        <v>1292</v>
      </c>
      <c r="C71" s="458" t="s">
        <v>1052</v>
      </c>
      <c r="D71" s="650">
        <v>16</v>
      </c>
      <c r="E71" s="650">
        <v>11</v>
      </c>
      <c r="F71" s="650">
        <v>11</v>
      </c>
      <c r="G71" s="650"/>
      <c r="H71" s="650"/>
      <c r="I71" s="650"/>
      <c r="J71" s="650"/>
      <c r="K71" s="650"/>
      <c r="L71" s="650"/>
      <c r="M71" s="650"/>
      <c r="N71" s="650"/>
      <c r="O71" s="650"/>
      <c r="P71" s="650"/>
      <c r="Q71" s="645">
        <f t="shared" si="0"/>
        <v>68.75</v>
      </c>
      <c r="R71" s="645">
        <f t="shared" si="0"/>
        <v>100</v>
      </c>
    </row>
    <row r="72" spans="1:18" s="1618" customFormat="1" ht="15.75">
      <c r="A72" s="1616"/>
      <c r="B72" s="1617" t="s">
        <v>1293</v>
      </c>
      <c r="C72" s="663" t="s">
        <v>1294</v>
      </c>
      <c r="D72" s="654">
        <v>2</v>
      </c>
      <c r="E72" s="654">
        <v>1</v>
      </c>
      <c r="F72" s="654">
        <v>2</v>
      </c>
      <c r="G72" s="654"/>
      <c r="H72" s="654"/>
      <c r="I72" s="654"/>
      <c r="J72" s="654"/>
      <c r="K72" s="654"/>
      <c r="L72" s="654"/>
      <c r="M72" s="654"/>
      <c r="N72" s="654"/>
      <c r="O72" s="654"/>
      <c r="P72" s="654"/>
      <c r="Q72" s="648">
        <f t="shared" si="0"/>
        <v>50</v>
      </c>
      <c r="R72" s="648">
        <f t="shared" si="0"/>
        <v>200</v>
      </c>
    </row>
    <row r="73" spans="1:18" s="405" customFormat="1" ht="15.75">
      <c r="A73" s="455" t="s">
        <v>972</v>
      </c>
      <c r="B73" s="456" t="s">
        <v>1053</v>
      </c>
      <c r="C73" s="458" t="s">
        <v>1048</v>
      </c>
      <c r="D73" s="650">
        <f>D74+D75</f>
        <v>281</v>
      </c>
      <c r="E73" s="650">
        <f>E74+E75</f>
        <v>175</v>
      </c>
      <c r="F73" s="650">
        <f>F74+F75</f>
        <v>169</v>
      </c>
      <c r="G73" s="650"/>
      <c r="H73" s="650"/>
      <c r="I73" s="650"/>
      <c r="J73" s="650"/>
      <c r="K73" s="650"/>
      <c r="L73" s="650"/>
      <c r="M73" s="650"/>
      <c r="N73" s="650"/>
      <c r="O73" s="650"/>
      <c r="P73" s="650"/>
      <c r="Q73" s="645">
        <f t="shared" si="0"/>
        <v>62.27758007117438</v>
      </c>
      <c r="R73" s="645">
        <f t="shared" si="0"/>
        <v>96.57142857142857</v>
      </c>
    </row>
    <row r="74" spans="1:18" s="1618" customFormat="1" ht="15.75">
      <c r="A74" s="1616"/>
      <c r="B74" s="1617" t="s">
        <v>1054</v>
      </c>
      <c r="C74" s="663" t="s">
        <v>1048</v>
      </c>
      <c r="D74" s="655">
        <v>26</v>
      </c>
      <c r="E74" s="655">
        <v>32</v>
      </c>
      <c r="F74" s="1627">
        <v>26</v>
      </c>
      <c r="G74" s="654"/>
      <c r="H74" s="654"/>
      <c r="I74" s="654"/>
      <c r="J74" s="654"/>
      <c r="K74" s="654"/>
      <c r="L74" s="654"/>
      <c r="M74" s="654"/>
      <c r="N74" s="654"/>
      <c r="O74" s="654"/>
      <c r="P74" s="654"/>
      <c r="Q74" s="648">
        <f aca="true" t="shared" si="11" ref="Q74:R83">(E74/D74)*100</f>
        <v>123.07692307692308</v>
      </c>
      <c r="R74" s="648">
        <f t="shared" si="11"/>
        <v>81.25</v>
      </c>
    </row>
    <row r="75" spans="1:18" s="1618" customFormat="1" ht="15.75">
      <c r="A75" s="1616"/>
      <c r="B75" s="1617" t="s">
        <v>1055</v>
      </c>
      <c r="C75" s="663" t="s">
        <v>1048</v>
      </c>
      <c r="D75" s="655">
        <v>255</v>
      </c>
      <c r="E75" s="655">
        <v>143</v>
      </c>
      <c r="F75" s="1627">
        <v>143</v>
      </c>
      <c r="G75" s="654"/>
      <c r="H75" s="654"/>
      <c r="I75" s="654"/>
      <c r="J75" s="654"/>
      <c r="K75" s="654"/>
      <c r="L75" s="654"/>
      <c r="M75" s="654"/>
      <c r="N75" s="654"/>
      <c r="O75" s="654"/>
      <c r="P75" s="654"/>
      <c r="Q75" s="648">
        <f t="shared" si="11"/>
        <v>56.07843137254902</v>
      </c>
      <c r="R75" s="648">
        <f t="shared" si="11"/>
        <v>100</v>
      </c>
    </row>
    <row r="76" spans="1:18" s="405" customFormat="1" ht="15.75">
      <c r="A76" s="1613" t="s">
        <v>101</v>
      </c>
      <c r="B76" s="1630" t="s">
        <v>1056</v>
      </c>
      <c r="C76" s="458"/>
      <c r="D76" s="1625"/>
      <c r="E76" s="668"/>
      <c r="F76" s="668"/>
      <c r="G76" s="668"/>
      <c r="H76" s="668"/>
      <c r="I76" s="668"/>
      <c r="J76" s="668"/>
      <c r="K76" s="668"/>
      <c r="L76" s="668"/>
      <c r="M76" s="668"/>
      <c r="N76" s="668"/>
      <c r="O76" s="668"/>
      <c r="P76" s="668"/>
      <c r="Q76" s="645"/>
      <c r="R76" s="645"/>
    </row>
    <row r="77" spans="1:18" s="405" customFormat="1" ht="36">
      <c r="A77" s="455" t="s">
        <v>960</v>
      </c>
      <c r="B77" s="456" t="s">
        <v>1057</v>
      </c>
      <c r="C77" s="458" t="s">
        <v>1058</v>
      </c>
      <c r="D77" s="674">
        <v>600</v>
      </c>
      <c r="E77" s="1631">
        <v>705</v>
      </c>
      <c r="F77" s="650">
        <v>830</v>
      </c>
      <c r="G77" s="661"/>
      <c r="H77" s="661"/>
      <c r="I77" s="661"/>
      <c r="J77" s="661"/>
      <c r="K77" s="661"/>
      <c r="L77" s="661"/>
      <c r="M77" s="661"/>
      <c r="N77" s="661"/>
      <c r="O77" s="661"/>
      <c r="P77" s="661"/>
      <c r="Q77" s="645">
        <f t="shared" si="11"/>
        <v>117.5</v>
      </c>
      <c r="R77" s="645">
        <f>(F77/E77)*100</f>
        <v>117.7304964539007</v>
      </c>
    </row>
    <row r="78" spans="1:18" s="1618" customFormat="1" ht="15.75">
      <c r="A78" s="1632"/>
      <c r="B78" s="1633" t="s">
        <v>1059</v>
      </c>
      <c r="C78" s="1634" t="s">
        <v>977</v>
      </c>
      <c r="D78" s="675">
        <v>120</v>
      </c>
      <c r="E78" s="676">
        <v>151</v>
      </c>
      <c r="F78" s="677">
        <v>180</v>
      </c>
      <c r="G78" s="676"/>
      <c r="H78" s="676"/>
      <c r="I78" s="676"/>
      <c r="J78" s="676"/>
      <c r="K78" s="676"/>
      <c r="L78" s="676"/>
      <c r="M78" s="676"/>
      <c r="N78" s="676"/>
      <c r="O78" s="676"/>
      <c r="P78" s="676"/>
      <c r="Q78" s="648">
        <f t="shared" si="11"/>
        <v>125.83333333333333</v>
      </c>
      <c r="R78" s="648">
        <f t="shared" si="11"/>
        <v>119.20529801324504</v>
      </c>
    </row>
    <row r="79" spans="1:18" s="1636" customFormat="1" ht="15.75">
      <c r="A79" s="455" t="s">
        <v>963</v>
      </c>
      <c r="B79" s="456" t="s">
        <v>1060</v>
      </c>
      <c r="C79" s="458" t="s">
        <v>11</v>
      </c>
      <c r="D79" s="674">
        <v>950</v>
      </c>
      <c r="E79" s="1635">
        <v>1155</v>
      </c>
      <c r="F79" s="650">
        <v>1360</v>
      </c>
      <c r="G79" s="661"/>
      <c r="H79" s="661"/>
      <c r="I79" s="661"/>
      <c r="J79" s="661"/>
      <c r="K79" s="661"/>
      <c r="L79" s="661"/>
      <c r="M79" s="661"/>
      <c r="N79" s="661"/>
      <c r="O79" s="661"/>
      <c r="P79" s="661"/>
      <c r="Q79" s="645">
        <f t="shared" si="11"/>
        <v>121.57894736842105</v>
      </c>
      <c r="R79" s="645">
        <f t="shared" si="11"/>
        <v>117.74891774891776</v>
      </c>
    </row>
    <row r="80" spans="1:18" s="1636" customFormat="1" ht="25.5">
      <c r="A80" s="455" t="s">
        <v>966</v>
      </c>
      <c r="B80" s="456" t="s">
        <v>1061</v>
      </c>
      <c r="C80" s="458" t="s">
        <v>1062</v>
      </c>
      <c r="D80" s="667">
        <v>2.4</v>
      </c>
      <c r="E80" s="1081">
        <v>2.4</v>
      </c>
      <c r="F80" s="1081">
        <v>2.4</v>
      </c>
      <c r="G80" s="661"/>
      <c r="H80" s="661"/>
      <c r="I80" s="661"/>
      <c r="J80" s="661"/>
      <c r="K80" s="661"/>
      <c r="L80" s="661"/>
      <c r="M80" s="661"/>
      <c r="N80" s="661"/>
      <c r="O80" s="661"/>
      <c r="P80" s="661"/>
      <c r="Q80" s="645">
        <f t="shared" si="11"/>
        <v>100</v>
      </c>
      <c r="R80" s="645">
        <f t="shared" si="11"/>
        <v>100</v>
      </c>
    </row>
    <row r="81" spans="1:18" s="405" customFormat="1" ht="25.5">
      <c r="A81" s="455" t="s">
        <v>968</v>
      </c>
      <c r="B81" s="456" t="s">
        <v>1063</v>
      </c>
      <c r="C81" s="458" t="s">
        <v>1062</v>
      </c>
      <c r="D81" s="667">
        <v>2.3</v>
      </c>
      <c r="E81" s="667">
        <v>2.4</v>
      </c>
      <c r="F81" s="667">
        <v>2.4</v>
      </c>
      <c r="G81" s="661"/>
      <c r="H81" s="661"/>
      <c r="I81" s="661"/>
      <c r="J81" s="661"/>
      <c r="K81" s="661"/>
      <c r="L81" s="661"/>
      <c r="M81" s="661"/>
      <c r="N81" s="661"/>
      <c r="O81" s="661"/>
      <c r="P81" s="661"/>
      <c r="Q81" s="645">
        <f t="shared" si="11"/>
        <v>104.34782608695652</v>
      </c>
      <c r="R81" s="645">
        <f t="shared" si="11"/>
        <v>100</v>
      </c>
    </row>
    <row r="82" spans="1:18" s="405" customFormat="1" ht="25.5">
      <c r="A82" s="455" t="s">
        <v>972</v>
      </c>
      <c r="B82" s="456" t="s">
        <v>1064</v>
      </c>
      <c r="C82" s="458" t="s">
        <v>546</v>
      </c>
      <c r="D82" s="678">
        <v>11</v>
      </c>
      <c r="E82" s="660">
        <v>11</v>
      </c>
      <c r="F82" s="650">
        <v>11</v>
      </c>
      <c r="G82" s="661"/>
      <c r="H82" s="661"/>
      <c r="I82" s="661"/>
      <c r="J82" s="661"/>
      <c r="K82" s="661"/>
      <c r="L82" s="661"/>
      <c r="M82" s="661"/>
      <c r="N82" s="661"/>
      <c r="O82" s="661"/>
      <c r="P82" s="661"/>
      <c r="Q82" s="645">
        <f t="shared" si="11"/>
        <v>100</v>
      </c>
      <c r="R82" s="645">
        <f t="shared" si="11"/>
        <v>100</v>
      </c>
    </row>
    <row r="83" spans="1:18" s="1618" customFormat="1" ht="25.5">
      <c r="A83" s="1637"/>
      <c r="B83" s="1638" t="s">
        <v>1065</v>
      </c>
      <c r="C83" s="1639" t="s">
        <v>546</v>
      </c>
      <c r="D83" s="679">
        <v>6</v>
      </c>
      <c r="E83" s="680">
        <v>11</v>
      </c>
      <c r="F83" s="681">
        <v>11</v>
      </c>
      <c r="G83" s="1640"/>
      <c r="H83" s="1640"/>
      <c r="I83" s="1640"/>
      <c r="J83" s="1640"/>
      <c r="K83" s="1640"/>
      <c r="L83" s="1640"/>
      <c r="M83" s="1640"/>
      <c r="N83" s="1640"/>
      <c r="O83" s="1640"/>
      <c r="P83" s="1640"/>
      <c r="Q83" s="1591">
        <f t="shared" si="11"/>
        <v>183.33333333333331</v>
      </c>
      <c r="R83" s="1591">
        <f t="shared" si="11"/>
        <v>100</v>
      </c>
    </row>
    <row r="84" spans="1:18" ht="14.25" customHeight="1">
      <c r="A84" s="1641"/>
      <c r="B84" s="1642"/>
      <c r="C84" s="1642"/>
      <c r="D84" s="1642"/>
      <c r="E84" s="1642"/>
      <c r="F84" s="1642"/>
      <c r="G84" s="1642"/>
      <c r="H84" s="1642"/>
      <c r="I84" s="1642"/>
      <c r="J84" s="1642"/>
      <c r="K84" s="1642"/>
      <c r="L84" s="1642"/>
      <c r="M84" s="1642"/>
      <c r="N84" s="1642"/>
      <c r="O84" s="1642"/>
      <c r="P84" s="1642"/>
      <c r="Q84" s="1643"/>
      <c r="R84" s="1642"/>
    </row>
    <row r="85" spans="1:18" ht="14.25" customHeight="1">
      <c r="A85" s="1641"/>
      <c r="B85" s="1642"/>
      <c r="C85" s="1642"/>
      <c r="D85" s="1642"/>
      <c r="E85" s="1642"/>
      <c r="F85" s="1642"/>
      <c r="G85" s="1642"/>
      <c r="H85" s="1642"/>
      <c r="I85" s="1642"/>
      <c r="J85" s="1642"/>
      <c r="K85" s="1642"/>
      <c r="L85" s="1642"/>
      <c r="M85" s="1642"/>
      <c r="N85" s="1642"/>
      <c r="O85" s="1642"/>
      <c r="P85" s="1642"/>
      <c r="Q85" s="1643"/>
      <c r="R85" s="1642"/>
    </row>
    <row r="86" spans="1:18" ht="14.25" customHeight="1">
      <c r="A86" s="1641"/>
      <c r="B86" s="461" t="s">
        <v>1066</v>
      </c>
      <c r="C86" s="462" t="s">
        <v>90</v>
      </c>
      <c r="D86" s="463">
        <v>130</v>
      </c>
      <c r="E86" s="463">
        <v>130</v>
      </c>
      <c r="F86" s="463">
        <f>SUM(G86:P86)</f>
        <v>130</v>
      </c>
      <c r="G86" s="463">
        <v>9</v>
      </c>
      <c r="H86" s="463">
        <v>25</v>
      </c>
      <c r="I86" s="463">
        <v>14</v>
      </c>
      <c r="J86" s="463">
        <v>19</v>
      </c>
      <c r="K86" s="463">
        <v>10</v>
      </c>
      <c r="L86" s="463">
        <v>12</v>
      </c>
      <c r="M86" s="463">
        <v>3</v>
      </c>
      <c r="N86" s="463">
        <v>12</v>
      </c>
      <c r="O86" s="463">
        <v>11</v>
      </c>
      <c r="P86" s="463">
        <v>15</v>
      </c>
      <c r="Q86" s="1643"/>
      <c r="R86" s="1642"/>
    </row>
    <row r="87" spans="1:18" ht="14.25" customHeight="1">
      <c r="A87" s="1641"/>
      <c r="B87" s="464" t="s">
        <v>1067</v>
      </c>
      <c r="C87" s="465" t="s">
        <v>1015</v>
      </c>
      <c r="D87" s="466">
        <v>1757</v>
      </c>
      <c r="E87" s="466">
        <v>1776</v>
      </c>
      <c r="F87" s="463">
        <f>SUM(G87:P87)</f>
        <v>1776</v>
      </c>
      <c r="G87" s="466">
        <v>164</v>
      </c>
      <c r="H87" s="466">
        <v>463</v>
      </c>
      <c r="I87" s="466">
        <v>243</v>
      </c>
      <c r="J87" s="466">
        <v>237</v>
      </c>
      <c r="K87" s="466">
        <v>139</v>
      </c>
      <c r="L87" s="466">
        <v>143</v>
      </c>
      <c r="M87" s="466">
        <v>49</v>
      </c>
      <c r="N87" s="466">
        <v>123</v>
      </c>
      <c r="O87" s="466">
        <v>93</v>
      </c>
      <c r="P87" s="466">
        <v>122</v>
      </c>
      <c r="Q87" s="1643"/>
      <c r="R87" s="1642"/>
    </row>
    <row r="88" spans="1:18" ht="14.25" customHeight="1">
      <c r="A88" s="1641"/>
      <c r="B88" s="464" t="s">
        <v>1068</v>
      </c>
      <c r="C88" s="465" t="s">
        <v>1043</v>
      </c>
      <c r="D88" s="466">
        <v>112753</v>
      </c>
      <c r="E88" s="466">
        <v>114569</v>
      </c>
      <c r="F88" s="463">
        <f>SUM(G88:P88)</f>
        <v>122883</v>
      </c>
      <c r="G88" s="466">
        <v>14493</v>
      </c>
      <c r="H88" s="466">
        <v>27865</v>
      </c>
      <c r="I88" s="466">
        <v>12212</v>
      </c>
      <c r="J88" s="466">
        <v>17654</v>
      </c>
      <c r="K88" s="466">
        <v>10325</v>
      </c>
      <c r="L88" s="466">
        <v>10283</v>
      </c>
      <c r="M88" s="466">
        <v>3985</v>
      </c>
      <c r="N88" s="466">
        <v>8701</v>
      </c>
      <c r="O88" s="466">
        <v>8469</v>
      </c>
      <c r="P88" s="466">
        <v>8896</v>
      </c>
      <c r="Q88" s="1643"/>
      <c r="R88" s="1642"/>
    </row>
    <row r="89" spans="1:18" ht="14.25" customHeight="1">
      <c r="A89" s="1641"/>
      <c r="B89" s="467" t="s">
        <v>1069</v>
      </c>
      <c r="C89" s="468" t="s">
        <v>196</v>
      </c>
      <c r="D89" s="469">
        <v>538069</v>
      </c>
      <c r="E89" s="469">
        <v>547378</v>
      </c>
      <c r="F89" s="470">
        <f>SUM(G89:P89)</f>
        <v>553326.7675000001</v>
      </c>
      <c r="G89" s="469">
        <v>54452.15</v>
      </c>
      <c r="H89" s="469">
        <v>118243.806</v>
      </c>
      <c r="I89" s="469">
        <v>63524.54200000001</v>
      </c>
      <c r="J89" s="469">
        <v>82638.02800000002</v>
      </c>
      <c r="K89" s="469">
        <v>45521.96300000001</v>
      </c>
      <c r="L89" s="469">
        <v>53236.30300000001</v>
      </c>
      <c r="M89" s="469">
        <v>11257.912500000002</v>
      </c>
      <c r="N89" s="469">
        <v>43831.955</v>
      </c>
      <c r="O89" s="469">
        <v>34754.46800000001</v>
      </c>
      <c r="P89" s="469">
        <v>45865.63999999999</v>
      </c>
      <c r="Q89" s="1643"/>
      <c r="R89" s="1642"/>
    </row>
    <row r="90" spans="1:18" ht="14.25" customHeight="1">
      <c r="A90" s="1641"/>
      <c r="B90" s="1642"/>
      <c r="C90" s="1642"/>
      <c r="D90" s="1642"/>
      <c r="E90" s="1642"/>
      <c r="F90" s="1642"/>
      <c r="G90" s="1642"/>
      <c r="H90" s="1642"/>
      <c r="I90" s="1642"/>
      <c r="J90" s="1642"/>
      <c r="K90" s="1642"/>
      <c r="L90" s="1642"/>
      <c r="M90" s="1642"/>
      <c r="N90" s="1642"/>
      <c r="O90" s="1642"/>
      <c r="P90" s="1642"/>
      <c r="Q90" s="1643"/>
      <c r="R90" s="1642"/>
    </row>
    <row r="91" spans="1:18" ht="14.25" customHeight="1">
      <c r="A91" s="1641"/>
      <c r="B91" s="1642"/>
      <c r="C91" s="1642"/>
      <c r="D91" s="1642"/>
      <c r="E91" s="1642"/>
      <c r="F91" s="1642"/>
      <c r="G91" s="1642"/>
      <c r="H91" s="1642"/>
      <c r="I91" s="1642"/>
      <c r="J91" s="1642"/>
      <c r="K91" s="1642"/>
      <c r="L91" s="1642"/>
      <c r="M91" s="1642"/>
      <c r="N91" s="1642"/>
      <c r="O91" s="1642"/>
      <c r="P91" s="1642"/>
      <c r="Q91" s="1643"/>
      <c r="R91" s="1642"/>
    </row>
    <row r="92" spans="1:18" ht="14.25" customHeight="1">
      <c r="A92" s="1641"/>
      <c r="B92" s="1642"/>
      <c r="C92" s="1642"/>
      <c r="D92" s="1642"/>
      <c r="E92" s="1642"/>
      <c r="F92" s="1642"/>
      <c r="G92" s="1642"/>
      <c r="H92" s="1642"/>
      <c r="I92" s="1642"/>
      <c r="J92" s="1642"/>
      <c r="K92" s="1642"/>
      <c r="L92" s="1642"/>
      <c r="M92" s="1642"/>
      <c r="N92" s="1642"/>
      <c r="O92" s="1642"/>
      <c r="P92" s="1642"/>
      <c r="Q92" s="1643"/>
      <c r="R92" s="1642"/>
    </row>
    <row r="93" spans="1:18" ht="14.25" customHeight="1">
      <c r="A93" s="1641"/>
      <c r="B93" s="1642"/>
      <c r="C93" s="1642"/>
      <c r="D93" s="1642"/>
      <c r="E93" s="1642"/>
      <c r="F93" s="1642"/>
      <c r="G93" s="1642"/>
      <c r="H93" s="1642"/>
      <c r="I93" s="1642"/>
      <c r="J93" s="1642"/>
      <c r="K93" s="1642"/>
      <c r="L93" s="1642"/>
      <c r="M93" s="1642"/>
      <c r="N93" s="1642"/>
      <c r="O93" s="1642"/>
      <c r="P93" s="1642"/>
      <c r="Q93" s="1643"/>
      <c r="R93" s="1642"/>
    </row>
    <row r="94" spans="1:18" ht="14.25" customHeight="1">
      <c r="A94" s="1641"/>
      <c r="B94" s="1642"/>
      <c r="C94" s="1642"/>
      <c r="D94" s="1642"/>
      <c r="E94" s="1642"/>
      <c r="F94" s="1644">
        <f>F21-E21</f>
        <v>3.448275862068966</v>
      </c>
      <c r="G94" s="1642"/>
      <c r="H94" s="1642"/>
      <c r="I94" s="1642"/>
      <c r="J94" s="1642"/>
      <c r="K94" s="1642"/>
      <c r="L94" s="1642"/>
      <c r="M94" s="1642"/>
      <c r="N94" s="1642"/>
      <c r="O94" s="1642"/>
      <c r="P94" s="1642"/>
      <c r="Q94" s="1643"/>
      <c r="R94" s="1642"/>
    </row>
    <row r="95" spans="1:18" ht="14.25" customHeight="1">
      <c r="A95" s="1641"/>
      <c r="B95" s="1642"/>
      <c r="C95" s="1642"/>
      <c r="D95" s="1642"/>
      <c r="E95" s="1642"/>
      <c r="F95" s="1642"/>
      <c r="G95" s="1642"/>
      <c r="H95" s="1642"/>
      <c r="I95" s="1642"/>
      <c r="J95" s="1642"/>
      <c r="K95" s="1642"/>
      <c r="L95" s="1642"/>
      <c r="M95" s="1642"/>
      <c r="N95" s="1642"/>
      <c r="O95" s="1642"/>
      <c r="P95" s="1642"/>
      <c r="Q95" s="1643"/>
      <c r="R95" s="1642"/>
    </row>
    <row r="96" spans="1:18" ht="14.25" customHeight="1">
      <c r="A96" s="1641"/>
      <c r="B96" s="1642"/>
      <c r="C96" s="1642"/>
      <c r="D96" s="1642"/>
      <c r="E96" s="1642"/>
      <c r="F96" s="1642"/>
      <c r="G96" s="1642"/>
      <c r="H96" s="1642"/>
      <c r="I96" s="1642"/>
      <c r="J96" s="1642"/>
      <c r="K96" s="1642"/>
      <c r="L96" s="1642"/>
      <c r="M96" s="1642"/>
      <c r="N96" s="1642"/>
      <c r="O96" s="1642"/>
      <c r="P96" s="1642"/>
      <c r="Q96" s="1643"/>
      <c r="R96" s="1642"/>
    </row>
    <row r="97" spans="1:18" ht="14.25" customHeight="1">
      <c r="A97" s="1641"/>
      <c r="B97" s="1642"/>
      <c r="C97" s="1642"/>
      <c r="D97" s="1642"/>
      <c r="E97" s="1642"/>
      <c r="F97" s="1642"/>
      <c r="G97" s="1642"/>
      <c r="H97" s="1642"/>
      <c r="I97" s="1642"/>
      <c r="J97" s="1642"/>
      <c r="K97" s="1642"/>
      <c r="L97" s="1642"/>
      <c r="M97" s="1642"/>
      <c r="N97" s="1642"/>
      <c r="O97" s="1642"/>
      <c r="P97" s="1642"/>
      <c r="Q97" s="1643"/>
      <c r="R97" s="1642"/>
    </row>
    <row r="98" spans="1:18" ht="14.25" customHeight="1">
      <c r="A98" s="1641"/>
      <c r="B98" s="1642"/>
      <c r="C98" s="1642"/>
      <c r="D98" s="1642"/>
      <c r="E98" s="1642"/>
      <c r="F98" s="1642"/>
      <c r="G98" s="1642"/>
      <c r="H98" s="1642"/>
      <c r="I98" s="1642"/>
      <c r="J98" s="1642"/>
      <c r="K98" s="1642"/>
      <c r="L98" s="1642"/>
      <c r="M98" s="1642"/>
      <c r="N98" s="1642"/>
      <c r="O98" s="1642"/>
      <c r="P98" s="1642"/>
      <c r="Q98" s="1643"/>
      <c r="R98" s="1642"/>
    </row>
    <row r="99" spans="1:18" ht="14.25" customHeight="1">
      <c r="A99" s="1641"/>
      <c r="B99" s="1642"/>
      <c r="C99" s="1642"/>
      <c r="D99" s="1642"/>
      <c r="E99" s="1642"/>
      <c r="F99" s="1642"/>
      <c r="G99" s="1642"/>
      <c r="H99" s="1642"/>
      <c r="I99" s="1642"/>
      <c r="J99" s="1642"/>
      <c r="K99" s="1642"/>
      <c r="L99" s="1642"/>
      <c r="M99" s="1642"/>
      <c r="N99" s="1642"/>
      <c r="O99" s="1642"/>
      <c r="P99" s="1642"/>
      <c r="Q99" s="1643"/>
      <c r="R99" s="1642"/>
    </row>
    <row r="100" spans="1:18" ht="14.25" customHeight="1">
      <c r="A100" s="1641"/>
      <c r="B100" s="1642"/>
      <c r="C100" s="1642"/>
      <c r="D100" s="1642"/>
      <c r="E100" s="1642"/>
      <c r="F100" s="1642"/>
      <c r="G100" s="1642"/>
      <c r="H100" s="1642"/>
      <c r="I100" s="1642"/>
      <c r="J100" s="1642"/>
      <c r="K100" s="1642"/>
      <c r="L100" s="1642"/>
      <c r="M100" s="1642"/>
      <c r="N100" s="1642"/>
      <c r="O100" s="1642"/>
      <c r="P100" s="1642"/>
      <c r="Q100" s="1643"/>
      <c r="R100" s="1642"/>
    </row>
    <row r="101" spans="1:18" ht="14.25" customHeight="1">
      <c r="A101" s="1641"/>
      <c r="B101" s="1642"/>
      <c r="C101" s="1642"/>
      <c r="D101" s="1642"/>
      <c r="E101" s="1642"/>
      <c r="F101" s="1642"/>
      <c r="G101" s="1642"/>
      <c r="H101" s="1642"/>
      <c r="I101" s="1642"/>
      <c r="J101" s="1642"/>
      <c r="K101" s="1642"/>
      <c r="L101" s="1642"/>
      <c r="M101" s="1642"/>
      <c r="N101" s="1642"/>
      <c r="O101" s="1642"/>
      <c r="P101" s="1642"/>
      <c r="Q101" s="1643"/>
      <c r="R101" s="1642"/>
    </row>
    <row r="102" spans="1:18" ht="14.25" customHeight="1">
      <c r="A102" s="1641"/>
      <c r="B102" s="1642"/>
      <c r="C102" s="1642"/>
      <c r="D102" s="1642"/>
      <c r="E102" s="1642"/>
      <c r="F102" s="1642"/>
      <c r="G102" s="1642"/>
      <c r="H102" s="1642"/>
      <c r="I102" s="1642"/>
      <c r="J102" s="1642"/>
      <c r="K102" s="1642"/>
      <c r="L102" s="1642"/>
      <c r="M102" s="1642"/>
      <c r="N102" s="1642"/>
      <c r="O102" s="1642"/>
      <c r="P102" s="1642"/>
      <c r="Q102" s="1643"/>
      <c r="R102" s="1642"/>
    </row>
  </sheetData>
  <sheetProtection/>
  <mergeCells count="11">
    <mergeCell ref="A1:B1"/>
    <mergeCell ref="A2:R2"/>
    <mergeCell ref="A3:R3"/>
    <mergeCell ref="A5:A6"/>
    <mergeCell ref="B5:B6"/>
    <mergeCell ref="C5:C6"/>
    <mergeCell ref="D5:D6"/>
    <mergeCell ref="E5:E6"/>
    <mergeCell ref="F5:F6"/>
    <mergeCell ref="G5:P5"/>
    <mergeCell ref="Q5:R5"/>
  </mergeCells>
  <printOptions horizontalCentered="1"/>
  <pageMargins left="0.33" right="0.1968503937007874" top="0.45" bottom="0.26" header="0.31496062992125984" footer="0.23"/>
  <pageSetup horizontalDpi="600" verticalDpi="600" orientation="landscape" paperSize="9" r:id="rId2"/>
  <headerFooter>
    <oddFooter>&amp;R&amp;P/&amp;N</oddFooter>
  </headerFooter>
  <drawing r:id="rId1"/>
</worksheet>
</file>

<file path=xl/worksheets/sheet11.xml><?xml version="1.0" encoding="utf-8"?>
<worksheet xmlns="http://schemas.openxmlformats.org/spreadsheetml/2006/main" xmlns:r="http://schemas.openxmlformats.org/officeDocument/2006/relationships">
  <sheetPr>
    <pageSetUpPr fitToPage="1"/>
  </sheetPr>
  <dimension ref="A1:J15"/>
  <sheetViews>
    <sheetView view="pageBreakPreview" zoomScale="120" zoomScaleNormal="80" zoomScaleSheetLayoutView="120" zoomScalePageLayoutView="0" workbookViewId="0" topLeftCell="A7">
      <selection activeCell="A5" sqref="A5"/>
    </sheetView>
  </sheetViews>
  <sheetFormatPr defaultColWidth="9.00390625" defaultRowHeight="15.75"/>
  <cols>
    <col min="1" max="1" width="3.625" style="313" customWidth="1"/>
    <col min="2" max="2" width="34.00390625" style="313" customWidth="1"/>
    <col min="3" max="3" width="9.625" style="313" customWidth="1"/>
    <col min="4" max="4" width="10.00390625" style="313" customWidth="1"/>
    <col min="5" max="5" width="10.50390625" style="313" customWidth="1"/>
    <col min="6" max="6" width="10.50390625" style="313" hidden="1" customWidth="1"/>
    <col min="7" max="7" width="10.50390625" style="313" customWidth="1"/>
    <col min="8" max="8" width="13.625" style="313" customWidth="1"/>
    <col min="9" max="9" width="12.375" style="313" customWidth="1"/>
    <col min="10" max="10" width="14.25390625" style="313" customWidth="1"/>
    <col min="11" max="11" width="27.625" style="313" customWidth="1"/>
    <col min="12" max="16384" width="9.00390625" style="313" customWidth="1"/>
  </cols>
  <sheetData>
    <row r="1" spans="1:10" ht="19.5">
      <c r="A1" s="121"/>
      <c r="B1" s="4"/>
      <c r="C1" s="4"/>
      <c r="D1" s="4"/>
      <c r="E1" s="4"/>
      <c r="F1" s="4"/>
      <c r="G1" s="4"/>
      <c r="H1" s="4"/>
      <c r="J1" s="1" t="s">
        <v>461</v>
      </c>
    </row>
    <row r="2" spans="1:10" ht="16.5">
      <c r="A2" s="1367" t="s">
        <v>164</v>
      </c>
      <c r="B2" s="1367"/>
      <c r="C2" s="1367"/>
      <c r="D2" s="1367"/>
      <c r="E2" s="1367"/>
      <c r="F2" s="1367"/>
      <c r="G2" s="1367"/>
      <c r="H2" s="1367"/>
      <c r="I2" s="1367"/>
      <c r="J2" s="1367"/>
    </row>
    <row r="3" spans="1:10" ht="16.5">
      <c r="A3" s="1367" t="s">
        <v>165</v>
      </c>
      <c r="B3" s="1367"/>
      <c r="C3" s="1367"/>
      <c r="D3" s="1367"/>
      <c r="E3" s="1367"/>
      <c r="F3" s="1367"/>
      <c r="G3" s="1367"/>
      <c r="H3" s="1367"/>
      <c r="I3" s="1367"/>
      <c r="J3" s="1367"/>
    </row>
    <row r="4" spans="1:10" ht="16.5">
      <c r="A4" s="1366" t="str">
        <f>'3.5.SNVHTTDL'!A3:R3</f>
        <v>(Kèm theo quyết định số          /QĐ-UBND ngày      /12/2018 của UBND tỉnh Điện Biên)</v>
      </c>
      <c r="B4" s="1366"/>
      <c r="C4" s="1366"/>
      <c r="D4" s="1366"/>
      <c r="E4" s="1366"/>
      <c r="F4" s="1366"/>
      <c r="G4" s="1366"/>
      <c r="H4" s="1366"/>
      <c r="I4" s="1366"/>
      <c r="J4" s="1366"/>
    </row>
    <row r="6" spans="1:10" s="122" customFormat="1" ht="26.25" customHeight="1">
      <c r="A6" s="1369" t="s">
        <v>2</v>
      </c>
      <c r="B6" s="1369" t="s">
        <v>3</v>
      </c>
      <c r="C6" s="1369" t="s">
        <v>4</v>
      </c>
      <c r="D6" s="1371" t="s">
        <v>472</v>
      </c>
      <c r="E6" s="1299" t="s">
        <v>468</v>
      </c>
      <c r="F6" s="1300"/>
      <c r="G6" s="1300"/>
      <c r="H6" s="1301"/>
      <c r="I6" s="1371" t="s">
        <v>470</v>
      </c>
      <c r="J6" s="1371" t="s">
        <v>471</v>
      </c>
    </row>
    <row r="7" spans="1:10" s="122" customFormat="1" ht="63">
      <c r="A7" s="1370"/>
      <c r="B7" s="1370"/>
      <c r="C7" s="1370"/>
      <c r="D7" s="1372"/>
      <c r="E7" s="196" t="s">
        <v>5</v>
      </c>
      <c r="F7" s="196" t="s">
        <v>6</v>
      </c>
      <c r="G7" s="196" t="s">
        <v>7</v>
      </c>
      <c r="H7" s="196" t="s">
        <v>469</v>
      </c>
      <c r="I7" s="1372"/>
      <c r="J7" s="1372"/>
    </row>
    <row r="8" spans="1:10" s="982" customFormat="1" ht="20.25" customHeight="1">
      <c r="A8" s="233">
        <v>1</v>
      </c>
      <c r="B8" s="233">
        <v>2</v>
      </c>
      <c r="C8" s="233">
        <v>3</v>
      </c>
      <c r="D8" s="233">
        <v>4</v>
      </c>
      <c r="E8" s="233">
        <v>5</v>
      </c>
      <c r="F8" s="233">
        <v>6</v>
      </c>
      <c r="G8" s="233">
        <v>7</v>
      </c>
      <c r="H8" s="233" t="s">
        <v>8</v>
      </c>
      <c r="I8" s="233">
        <v>9</v>
      </c>
      <c r="J8" s="233" t="s">
        <v>9</v>
      </c>
    </row>
    <row r="9" spans="1:10" ht="39" customHeight="1">
      <c r="A9" s="983">
        <v>1</v>
      </c>
      <c r="B9" s="192" t="s">
        <v>166</v>
      </c>
      <c r="C9" s="984" t="s">
        <v>21</v>
      </c>
      <c r="D9" s="985">
        <v>75</v>
      </c>
      <c r="E9" s="985">
        <v>78</v>
      </c>
      <c r="F9" s="985"/>
      <c r="G9" s="985">
        <v>78</v>
      </c>
      <c r="H9" s="986">
        <v>3</v>
      </c>
      <c r="I9" s="987">
        <v>82</v>
      </c>
      <c r="J9" s="986">
        <f>I9/G9*100</f>
        <v>105.12820512820514</v>
      </c>
    </row>
    <row r="10" spans="1:10" ht="31.5">
      <c r="A10" s="984">
        <v>2</v>
      </c>
      <c r="B10" s="146" t="s">
        <v>167</v>
      </c>
      <c r="C10" s="984" t="s">
        <v>21</v>
      </c>
      <c r="D10" s="985">
        <v>50</v>
      </c>
      <c r="E10" s="985">
        <v>75</v>
      </c>
      <c r="F10" s="985"/>
      <c r="G10" s="985">
        <v>75</v>
      </c>
      <c r="H10" s="986">
        <v>25</v>
      </c>
      <c r="I10" s="987">
        <v>100</v>
      </c>
      <c r="J10" s="986">
        <f>I10/G10*100</f>
        <v>133.33333333333331</v>
      </c>
    </row>
    <row r="11" spans="1:10" ht="39.75" customHeight="1">
      <c r="A11" s="984">
        <v>3</v>
      </c>
      <c r="B11" s="192" t="s">
        <v>168</v>
      </c>
      <c r="C11" s="984" t="s">
        <v>169</v>
      </c>
      <c r="D11" s="987">
        <v>2</v>
      </c>
      <c r="E11" s="987">
        <v>2</v>
      </c>
      <c r="F11" s="987">
        <v>2</v>
      </c>
      <c r="G11" s="987">
        <v>2</v>
      </c>
      <c r="H11" s="987">
        <f>G11/D11*100</f>
        <v>100</v>
      </c>
      <c r="I11" s="987">
        <v>2</v>
      </c>
      <c r="J11" s="986">
        <f>I11/G11*100</f>
        <v>100</v>
      </c>
    </row>
    <row r="12" spans="1:10" ht="47.25">
      <c r="A12" s="984">
        <v>4</v>
      </c>
      <c r="B12" s="192" t="s">
        <v>170</v>
      </c>
      <c r="C12" s="984" t="s">
        <v>169</v>
      </c>
      <c r="D12" s="151"/>
      <c r="E12" s="151"/>
      <c r="F12" s="151"/>
      <c r="G12" s="151"/>
      <c r="H12" s="151"/>
      <c r="I12" s="151"/>
      <c r="J12" s="151"/>
    </row>
    <row r="13" spans="1:10" ht="48" thickBot="1">
      <c r="A13" s="988">
        <v>5</v>
      </c>
      <c r="B13" s="147" t="s">
        <v>171</v>
      </c>
      <c r="C13" s="988" t="s">
        <v>21</v>
      </c>
      <c r="D13" s="170"/>
      <c r="E13" s="170"/>
      <c r="F13" s="170"/>
      <c r="G13" s="170"/>
      <c r="H13" s="170"/>
      <c r="I13" s="170"/>
      <c r="J13" s="170"/>
    </row>
    <row r="14" spans="1:10" ht="16.5" thickTop="1">
      <c r="A14" s="989"/>
      <c r="B14" s="148"/>
      <c r="C14" s="989"/>
      <c r="D14" s="990"/>
      <c r="E14" s="990"/>
      <c r="F14" s="990"/>
      <c r="G14" s="990"/>
      <c r="H14" s="990"/>
      <c r="I14" s="990"/>
      <c r="J14" s="990"/>
    </row>
    <row r="15" spans="1:10" ht="34.5" customHeight="1">
      <c r="A15" s="1368" t="s">
        <v>172</v>
      </c>
      <c r="B15" s="1368"/>
      <c r="C15" s="1368"/>
      <c r="D15" s="1368"/>
      <c r="E15" s="1368"/>
      <c r="F15" s="1368"/>
      <c r="G15" s="1368"/>
      <c r="H15" s="1368"/>
      <c r="I15" s="1368"/>
      <c r="J15" s="1368"/>
    </row>
  </sheetData>
  <sheetProtection/>
  <mergeCells count="11">
    <mergeCell ref="J6:J7"/>
    <mergeCell ref="A4:J4"/>
    <mergeCell ref="A2:J2"/>
    <mergeCell ref="A3:J3"/>
    <mergeCell ref="E6:H6"/>
    <mergeCell ref="A15:J15"/>
    <mergeCell ref="A6:A7"/>
    <mergeCell ref="B6:B7"/>
    <mergeCell ref="C6:C7"/>
    <mergeCell ref="D6:D7"/>
    <mergeCell ref="I6:I7"/>
  </mergeCells>
  <printOptions horizontalCentered="1"/>
  <pageMargins left="0.393055555555556" right="0.393055555555556" top="0.590277777777778" bottom="0.984027777777778" header="0.313888888888889" footer="0.313888888888889"/>
  <pageSetup firstPageNumber="1" useFirstPageNumber="1" fitToHeight="0" fitToWidth="1" horizontalDpi="600" verticalDpi="600" orientation="landscape" paperSize="9" r:id="rId1"/>
  <headerFooter differentFirst="1">
    <oddFooter>&amp;R&amp;P</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J61"/>
  <sheetViews>
    <sheetView view="pageBreakPreview" zoomScale="130" zoomScaleNormal="62" zoomScaleSheetLayoutView="130" zoomScalePageLayoutView="0" workbookViewId="0" topLeftCell="A1">
      <pane xSplit="2" ySplit="8" topLeftCell="C21" activePane="bottomRight" state="frozen"/>
      <selection pane="topLeft" activeCell="A1" sqref="A1"/>
      <selection pane="topRight" activeCell="C1" sqref="C1"/>
      <selection pane="bottomLeft" activeCell="A9" sqref="A9"/>
      <selection pane="bottomRight" activeCell="A4" sqref="A4:J4"/>
    </sheetView>
  </sheetViews>
  <sheetFormatPr defaultColWidth="9.00390625" defaultRowHeight="15.75"/>
  <cols>
    <col min="1" max="1" width="3.375" style="116" customWidth="1"/>
    <col min="2" max="2" width="40.75390625" style="116" customWidth="1"/>
    <col min="3" max="3" width="16.50390625" style="120" customWidth="1"/>
    <col min="4" max="4" width="11.25390625" style="116" customWidth="1"/>
    <col min="5" max="5" width="11.125" style="116" customWidth="1"/>
    <col min="6" max="6" width="10.75390625" style="116" hidden="1" customWidth="1"/>
    <col min="7" max="7" width="11.25390625" style="116" customWidth="1"/>
    <col min="8" max="8" width="13.25390625" style="116" customWidth="1"/>
    <col min="9" max="9" width="11.00390625" style="116" customWidth="1"/>
    <col min="10" max="10" width="12.50390625" style="116" customWidth="1"/>
    <col min="11" max="11" width="27.625" style="116" customWidth="1"/>
    <col min="12" max="16384" width="9.00390625" style="116" customWidth="1"/>
  </cols>
  <sheetData>
    <row r="1" spans="1:10" ht="19.5">
      <c r="A1" s="121"/>
      <c r="B1" s="4"/>
      <c r="C1" s="122"/>
      <c r="D1" s="4"/>
      <c r="E1" s="4"/>
      <c r="F1" s="4"/>
      <c r="G1" s="4"/>
      <c r="H1" s="4"/>
      <c r="I1" s="6"/>
      <c r="J1" s="1" t="s">
        <v>461</v>
      </c>
    </row>
    <row r="2" spans="1:10" ht="18.75">
      <c r="A2" s="1376" t="s">
        <v>173</v>
      </c>
      <c r="B2" s="1376"/>
      <c r="C2" s="1376"/>
      <c r="D2" s="1376"/>
      <c r="E2" s="1376"/>
      <c r="F2" s="1376"/>
      <c r="G2" s="1376"/>
      <c r="H2" s="1376"/>
      <c r="I2" s="1376"/>
      <c r="J2" s="1376"/>
    </row>
    <row r="3" spans="1:10" ht="25.5" customHeight="1">
      <c r="A3" s="1377" t="s">
        <v>174</v>
      </c>
      <c r="B3" s="1377"/>
      <c r="C3" s="1377"/>
      <c r="D3" s="1377"/>
      <c r="E3" s="1377"/>
      <c r="F3" s="1377"/>
      <c r="G3" s="1377"/>
      <c r="H3" s="1377"/>
      <c r="I3" s="1377"/>
      <c r="J3" s="1377"/>
    </row>
    <row r="4" spans="1:10" ht="25.5" customHeight="1">
      <c r="A4" s="1366" t="str">
        <f>'4. MT'!A4:J4</f>
        <v>(Kèm theo quyết định số          /QĐ-UBND ngày      /12/2018 của UBND tỉnh Điện Biên)</v>
      </c>
      <c r="B4" s="1366"/>
      <c r="C4" s="1366"/>
      <c r="D4" s="1366"/>
      <c r="E4" s="1366"/>
      <c r="F4" s="1366"/>
      <c r="G4" s="1366"/>
      <c r="H4" s="1366"/>
      <c r="I4" s="1366"/>
      <c r="J4" s="1366"/>
    </row>
    <row r="6" spans="1:10" s="122" customFormat="1" ht="15.75" customHeight="1">
      <c r="A6" s="1369" t="s">
        <v>2</v>
      </c>
      <c r="B6" s="1369" t="s">
        <v>3</v>
      </c>
      <c r="C6" s="1369" t="s">
        <v>4</v>
      </c>
      <c r="D6" s="1371" t="s">
        <v>472</v>
      </c>
      <c r="E6" s="1299" t="s">
        <v>468</v>
      </c>
      <c r="F6" s="1300"/>
      <c r="G6" s="1300"/>
      <c r="H6" s="1301"/>
      <c r="I6" s="1371" t="s">
        <v>470</v>
      </c>
      <c r="J6" s="1371" t="s">
        <v>471</v>
      </c>
    </row>
    <row r="7" spans="1:10" s="122" customFormat="1" ht="71.25" customHeight="1">
      <c r="A7" s="1370"/>
      <c r="B7" s="1370"/>
      <c r="C7" s="1370"/>
      <c r="D7" s="1372"/>
      <c r="E7" s="196" t="s">
        <v>5</v>
      </c>
      <c r="F7" s="196" t="s">
        <v>6</v>
      </c>
      <c r="G7" s="196" t="s">
        <v>7</v>
      </c>
      <c r="H7" s="196" t="s">
        <v>469</v>
      </c>
      <c r="I7" s="1372"/>
      <c r="J7" s="1372"/>
    </row>
    <row r="8" spans="1:10" s="2" customFormat="1" ht="15.75">
      <c r="A8" s="197">
        <v>1</v>
      </c>
      <c r="B8" s="197">
        <v>2</v>
      </c>
      <c r="C8" s="197">
        <v>3</v>
      </c>
      <c r="D8" s="197">
        <v>4</v>
      </c>
      <c r="E8" s="197">
        <v>5</v>
      </c>
      <c r="F8" s="197">
        <v>6</v>
      </c>
      <c r="G8" s="197">
        <v>6</v>
      </c>
      <c r="H8" s="233" t="s">
        <v>1170</v>
      </c>
      <c r="I8" s="197">
        <v>8</v>
      </c>
      <c r="J8" s="233" t="s">
        <v>1309</v>
      </c>
    </row>
    <row r="9" spans="1:10" s="6" customFormat="1" ht="24.75" customHeight="1">
      <c r="A9" s="10" t="s">
        <v>48</v>
      </c>
      <c r="B9" s="11" t="s">
        <v>175</v>
      </c>
      <c r="C9" s="197"/>
      <c r="D9" s="15"/>
      <c r="E9" s="15"/>
      <c r="F9" s="15"/>
      <c r="G9" s="15"/>
      <c r="H9" s="15"/>
      <c r="I9" s="15"/>
      <c r="J9" s="15"/>
    </row>
    <row r="10" spans="1:10" s="6" customFormat="1" ht="24.75" customHeight="1">
      <c r="A10" s="123" t="s">
        <v>107</v>
      </c>
      <c r="B10" s="124" t="s">
        <v>176</v>
      </c>
      <c r="C10" s="123"/>
      <c r="D10" s="269"/>
      <c r="E10" s="269"/>
      <c r="F10" s="269"/>
      <c r="G10" s="269"/>
      <c r="H10" s="269"/>
      <c r="I10" s="269"/>
      <c r="J10" s="269"/>
    </row>
    <row r="11" spans="1:10" s="6" customFormat="1" ht="24.75" customHeight="1">
      <c r="A11" s="125">
        <v>1</v>
      </c>
      <c r="B11" s="126" t="s">
        <v>177</v>
      </c>
      <c r="C11" s="127" t="s">
        <v>178</v>
      </c>
      <c r="D11" s="270">
        <v>2</v>
      </c>
      <c r="E11" s="270">
        <v>2</v>
      </c>
      <c r="F11" s="270">
        <v>2</v>
      </c>
      <c r="G11" s="270">
        <v>2</v>
      </c>
      <c r="H11" s="271">
        <f>1*100</f>
        <v>100</v>
      </c>
      <c r="I11" s="272">
        <v>2</v>
      </c>
      <c r="J11" s="273">
        <f>I11/G11*100</f>
        <v>100</v>
      </c>
    </row>
    <row r="12" spans="1:10" s="6" customFormat="1" ht="24.75" customHeight="1">
      <c r="A12" s="125">
        <v>2</v>
      </c>
      <c r="B12" s="126" t="s">
        <v>179</v>
      </c>
      <c r="C12" s="127" t="s">
        <v>20</v>
      </c>
      <c r="D12" s="274">
        <v>1004343</v>
      </c>
      <c r="E12" s="274">
        <v>962094</v>
      </c>
      <c r="F12" s="274">
        <v>1004343</v>
      </c>
      <c r="G12" s="274">
        <f>F12*105%</f>
        <v>1054560.1500000001</v>
      </c>
      <c r="H12" s="271">
        <f>G12/D12*100</f>
        <v>105</v>
      </c>
      <c r="I12" s="274">
        <f>G12*102%</f>
        <v>1075651.3530000001</v>
      </c>
      <c r="J12" s="273">
        <f aca="true" t="shared" si="0" ref="J12:J50">I12/G12*100</f>
        <v>102</v>
      </c>
    </row>
    <row r="13" spans="1:10" s="6" customFormat="1" ht="24.75" customHeight="1">
      <c r="A13" s="125">
        <v>3</v>
      </c>
      <c r="B13" s="126" t="s">
        <v>180</v>
      </c>
      <c r="C13" s="127" t="s">
        <v>20</v>
      </c>
      <c r="D13" s="274">
        <f>23467.957+23352.846</f>
        <v>46820.803</v>
      </c>
      <c r="E13" s="274">
        <v>16418</v>
      </c>
      <c r="F13" s="274">
        <v>15763.381576</v>
      </c>
      <c r="G13" s="274">
        <f>E13*150%</f>
        <v>24627</v>
      </c>
      <c r="H13" s="275">
        <f>G13/D13*100</f>
        <v>52.598414427022966</v>
      </c>
      <c r="I13" s="276">
        <v>25858</v>
      </c>
      <c r="J13" s="273">
        <f t="shared" si="0"/>
        <v>104.99857879563082</v>
      </c>
    </row>
    <row r="14" spans="1:10" s="6" customFormat="1" ht="24.75" customHeight="1">
      <c r="A14" s="125">
        <v>4</v>
      </c>
      <c r="B14" s="126" t="s">
        <v>181</v>
      </c>
      <c r="C14" s="127" t="s">
        <v>20</v>
      </c>
      <c r="D14" s="277">
        <v>4122.867</v>
      </c>
      <c r="E14" s="274">
        <v>3870</v>
      </c>
      <c r="F14" s="274">
        <f>E14*25%</f>
        <v>967.5</v>
      </c>
      <c r="G14" s="274">
        <v>3870</v>
      </c>
      <c r="H14" s="278">
        <f>G14/D14*100</f>
        <v>93.86671944547325</v>
      </c>
      <c r="I14" s="276">
        <v>4064</v>
      </c>
      <c r="J14" s="273">
        <f t="shared" si="0"/>
        <v>105.01291989664084</v>
      </c>
    </row>
    <row r="15" spans="1:10" s="6" customFormat="1" ht="24.75" customHeight="1">
      <c r="A15" s="125">
        <v>5</v>
      </c>
      <c r="B15" s="126" t="s">
        <v>182</v>
      </c>
      <c r="C15" s="127" t="s">
        <v>178</v>
      </c>
      <c r="D15" s="279"/>
      <c r="E15" s="279"/>
      <c r="F15" s="279"/>
      <c r="G15" s="279"/>
      <c r="H15" s="280"/>
      <c r="I15" s="279"/>
      <c r="J15" s="273"/>
    </row>
    <row r="16" spans="1:10" s="5" customFormat="1" ht="36.75" customHeight="1">
      <c r="A16" s="128"/>
      <c r="B16" s="129" t="s">
        <v>183</v>
      </c>
      <c r="C16" s="130" t="s">
        <v>178</v>
      </c>
      <c r="D16" s="281">
        <v>2</v>
      </c>
      <c r="E16" s="282">
        <v>2</v>
      </c>
      <c r="F16" s="281">
        <v>2</v>
      </c>
      <c r="G16" s="282">
        <v>2</v>
      </c>
      <c r="H16" s="278"/>
      <c r="I16" s="282">
        <v>2</v>
      </c>
      <c r="J16" s="273">
        <f t="shared" si="0"/>
        <v>100</v>
      </c>
    </row>
    <row r="17" spans="1:10" s="5" customFormat="1" ht="24.75" customHeight="1">
      <c r="A17" s="128"/>
      <c r="B17" s="129" t="s">
        <v>184</v>
      </c>
      <c r="C17" s="130" t="s">
        <v>178</v>
      </c>
      <c r="D17" s="283">
        <v>1</v>
      </c>
      <c r="E17" s="283"/>
      <c r="F17" s="283"/>
      <c r="G17" s="283"/>
      <c r="H17" s="283"/>
      <c r="I17" s="283"/>
      <c r="J17" s="273"/>
    </row>
    <row r="18" spans="1:10" s="5" customFormat="1" ht="39.75" customHeight="1">
      <c r="A18" s="128"/>
      <c r="B18" s="129" t="s">
        <v>185</v>
      </c>
      <c r="C18" s="130"/>
      <c r="D18" s="284"/>
      <c r="E18" s="283"/>
      <c r="F18" s="284"/>
      <c r="G18" s="283"/>
      <c r="H18" s="283"/>
      <c r="I18" s="283"/>
      <c r="J18" s="273"/>
    </row>
    <row r="19" spans="1:10" s="6" customFormat="1" ht="24.75" customHeight="1">
      <c r="A19" s="131" t="s">
        <v>117</v>
      </c>
      <c r="B19" s="132" t="s">
        <v>186</v>
      </c>
      <c r="C19" s="123"/>
      <c r="D19" s="285"/>
      <c r="E19" s="285"/>
      <c r="F19" s="286"/>
      <c r="G19" s="285"/>
      <c r="H19" s="285"/>
      <c r="I19" s="285"/>
      <c r="J19" s="273"/>
    </row>
    <row r="20" spans="1:10" s="6" customFormat="1" ht="39.75" customHeight="1">
      <c r="A20" s="125">
        <v>1</v>
      </c>
      <c r="B20" s="133" t="s">
        <v>187</v>
      </c>
      <c r="C20" s="127" t="s">
        <v>178</v>
      </c>
      <c r="D20" s="287">
        <v>1077</v>
      </c>
      <c r="E20" s="287">
        <v>1103</v>
      </c>
      <c r="F20" s="287">
        <v>1145</v>
      </c>
      <c r="G20" s="287">
        <v>1170</v>
      </c>
      <c r="H20" s="280">
        <f>G20/D20*100</f>
        <v>108.63509749303621</v>
      </c>
      <c r="I20" s="287">
        <v>1200</v>
      </c>
      <c r="J20" s="273">
        <f t="shared" si="0"/>
        <v>102.56410256410255</v>
      </c>
    </row>
    <row r="21" spans="1:10" s="5" customFormat="1" ht="39.75" customHeight="1">
      <c r="A21" s="134"/>
      <c r="B21" s="135" t="s">
        <v>188</v>
      </c>
      <c r="C21" s="130"/>
      <c r="D21" s="288">
        <v>7</v>
      </c>
      <c r="E21" s="288">
        <v>5</v>
      </c>
      <c r="F21" s="288">
        <v>7</v>
      </c>
      <c r="G21" s="288">
        <v>5</v>
      </c>
      <c r="H21" s="280">
        <f>G21/D21*100</f>
        <v>71.42857142857143</v>
      </c>
      <c r="I21" s="288">
        <v>5</v>
      </c>
      <c r="J21" s="273">
        <f t="shared" si="0"/>
        <v>100</v>
      </c>
    </row>
    <row r="22" spans="1:10" s="6" customFormat="1" ht="39.75" customHeight="1">
      <c r="A22" s="136">
        <v>2</v>
      </c>
      <c r="B22" s="137" t="s">
        <v>189</v>
      </c>
      <c r="C22" s="127" t="s">
        <v>178</v>
      </c>
      <c r="D22" s="287">
        <v>122</v>
      </c>
      <c r="E22" s="287">
        <v>120</v>
      </c>
      <c r="F22" s="287">
        <v>72</v>
      </c>
      <c r="G22" s="287">
        <v>145</v>
      </c>
      <c r="H22" s="280">
        <f>G22/D22*100</f>
        <v>118.85245901639345</v>
      </c>
      <c r="I22" s="287">
        <v>150</v>
      </c>
      <c r="J22" s="273">
        <f t="shared" si="0"/>
        <v>103.44827586206897</v>
      </c>
    </row>
    <row r="23" spans="1:10" s="313" customFormat="1" ht="39.75" customHeight="1">
      <c r="A23" s="154">
        <v>3</v>
      </c>
      <c r="B23" s="309" t="s">
        <v>190</v>
      </c>
      <c r="C23" s="233" t="s">
        <v>20</v>
      </c>
      <c r="D23" s="287">
        <v>18236000</v>
      </c>
      <c r="E23" s="287">
        <v>16049000</v>
      </c>
      <c r="F23" s="310">
        <v>18696619</v>
      </c>
      <c r="G23" s="287">
        <v>19180619</v>
      </c>
      <c r="H23" s="311">
        <f>G23/D23*100</f>
        <v>105.17996819477955</v>
      </c>
      <c r="I23" s="287">
        <v>20280619</v>
      </c>
      <c r="J23" s="312">
        <f t="shared" si="0"/>
        <v>105.7349556862581</v>
      </c>
    </row>
    <row r="24" spans="1:10" s="5" customFormat="1" ht="39.75" customHeight="1">
      <c r="A24" s="138"/>
      <c r="B24" s="135" t="s">
        <v>191</v>
      </c>
      <c r="C24" s="130" t="s">
        <v>20</v>
      </c>
      <c r="D24" s="289">
        <v>448032</v>
      </c>
      <c r="E24" s="287">
        <v>287977</v>
      </c>
      <c r="F24" s="289">
        <f>E24</f>
        <v>287977</v>
      </c>
      <c r="G24" s="289">
        <f>E24</f>
        <v>287977</v>
      </c>
      <c r="H24" s="290">
        <f>G24/D24*100</f>
        <v>64.27598921505606</v>
      </c>
      <c r="I24" s="289">
        <f>G24/160%</f>
        <v>179985.625</v>
      </c>
      <c r="J24" s="273">
        <f t="shared" si="0"/>
        <v>62.5</v>
      </c>
    </row>
    <row r="25" spans="1:10" s="6" customFormat="1" ht="27.75" customHeight="1">
      <c r="A25" s="136">
        <v>4</v>
      </c>
      <c r="B25" s="137" t="s">
        <v>192</v>
      </c>
      <c r="C25" s="127" t="s">
        <v>178</v>
      </c>
      <c r="D25" s="287">
        <v>101</v>
      </c>
      <c r="E25" s="287">
        <v>50</v>
      </c>
      <c r="F25" s="287">
        <v>62</v>
      </c>
      <c r="G25" s="287">
        <v>93</v>
      </c>
      <c r="H25" s="290">
        <f aca="true" t="shared" si="1" ref="H25:H37">G25/D25*100</f>
        <v>92.07920792079209</v>
      </c>
      <c r="I25" s="287">
        <v>130</v>
      </c>
      <c r="J25" s="273">
        <f t="shared" si="0"/>
        <v>139.78494623655914</v>
      </c>
    </row>
    <row r="26" spans="1:10" s="6" customFormat="1" ht="24.75" customHeight="1">
      <c r="A26" s="136">
        <v>5</v>
      </c>
      <c r="B26" s="126" t="s">
        <v>193</v>
      </c>
      <c r="C26" s="127" t="s">
        <v>178</v>
      </c>
      <c r="D26" s="287">
        <v>633</v>
      </c>
      <c r="E26" s="287">
        <v>865</v>
      </c>
      <c r="F26" s="287">
        <f>E26*40%</f>
        <v>346</v>
      </c>
      <c r="G26" s="287">
        <v>685</v>
      </c>
      <c r="H26" s="290">
        <v>108</v>
      </c>
      <c r="I26" s="287">
        <v>808</v>
      </c>
      <c r="J26" s="273">
        <f t="shared" si="0"/>
        <v>117.95620437956205</v>
      </c>
    </row>
    <row r="27" spans="1:10" s="6" customFormat="1" ht="24.75" customHeight="1">
      <c r="A27" s="136">
        <v>6</v>
      </c>
      <c r="B27" s="126" t="s">
        <v>194</v>
      </c>
      <c r="C27" s="127" t="s">
        <v>178</v>
      </c>
      <c r="D27" s="287">
        <v>124</v>
      </c>
      <c r="E27" s="287">
        <v>145</v>
      </c>
      <c r="F27" s="287">
        <f>E27*40%</f>
        <v>58</v>
      </c>
      <c r="G27" s="287">
        <f>E27</f>
        <v>145</v>
      </c>
      <c r="H27" s="290">
        <v>117</v>
      </c>
      <c r="I27" s="287">
        <v>150</v>
      </c>
      <c r="J27" s="273">
        <f t="shared" si="0"/>
        <v>103.44827586206897</v>
      </c>
    </row>
    <row r="28" spans="1:10" s="6" customFormat="1" ht="24.75" customHeight="1">
      <c r="A28" s="136">
        <v>7</v>
      </c>
      <c r="B28" s="126" t="s">
        <v>195</v>
      </c>
      <c r="C28" s="197" t="s">
        <v>196</v>
      </c>
      <c r="D28" s="287">
        <v>41142</v>
      </c>
      <c r="E28" s="287">
        <v>43896</v>
      </c>
      <c r="F28" s="287">
        <v>17559</v>
      </c>
      <c r="G28" s="287">
        <v>43896</v>
      </c>
      <c r="H28" s="290">
        <v>107</v>
      </c>
      <c r="I28" s="287">
        <v>44896</v>
      </c>
      <c r="J28" s="273">
        <f t="shared" si="0"/>
        <v>102.27811190085656</v>
      </c>
    </row>
    <row r="29" spans="1:10" s="6" customFormat="1" ht="24.75" customHeight="1">
      <c r="A29" s="136">
        <v>8</v>
      </c>
      <c r="B29" s="126" t="s">
        <v>197</v>
      </c>
      <c r="C29" s="127" t="s">
        <v>20</v>
      </c>
      <c r="D29" s="291">
        <v>5.2</v>
      </c>
      <c r="E29" s="287">
        <v>5</v>
      </c>
      <c r="F29" s="287">
        <v>5</v>
      </c>
      <c r="G29" s="287">
        <f>E29</f>
        <v>5</v>
      </c>
      <c r="H29" s="290">
        <f t="shared" si="1"/>
        <v>96.15384615384615</v>
      </c>
      <c r="I29" s="287">
        <v>5</v>
      </c>
      <c r="J29" s="273">
        <f t="shared" si="0"/>
        <v>100</v>
      </c>
    </row>
    <row r="30" spans="1:10" s="6" customFormat="1" ht="24.75" customHeight="1">
      <c r="A30" s="136">
        <v>9</v>
      </c>
      <c r="B30" s="126" t="s">
        <v>198</v>
      </c>
      <c r="C30" s="127" t="s">
        <v>20</v>
      </c>
      <c r="D30" s="287">
        <v>64839424</v>
      </c>
      <c r="E30" s="287">
        <v>55590402</v>
      </c>
      <c r="F30" s="287">
        <f>D30</f>
        <v>64839424</v>
      </c>
      <c r="G30" s="287">
        <f>F30</f>
        <v>64839424</v>
      </c>
      <c r="H30" s="290">
        <f t="shared" si="1"/>
        <v>100</v>
      </c>
      <c r="I30" s="287">
        <f>G30*105%</f>
        <v>68081395.2</v>
      </c>
      <c r="J30" s="273">
        <f t="shared" si="0"/>
        <v>105</v>
      </c>
    </row>
    <row r="31" spans="1:10" s="6" customFormat="1" ht="35.25" customHeight="1">
      <c r="A31" s="168" t="s">
        <v>13</v>
      </c>
      <c r="B31" s="133" t="s">
        <v>199</v>
      </c>
      <c r="C31" s="127" t="s">
        <v>20</v>
      </c>
      <c r="D31" s="287">
        <v>754015.641952</v>
      </c>
      <c r="E31" s="287">
        <v>1572718</v>
      </c>
      <c r="F31" s="287">
        <f>D31</f>
        <v>754015.641952</v>
      </c>
      <c r="G31" s="287">
        <f>F31/150%</f>
        <v>502677.09463466663</v>
      </c>
      <c r="H31" s="290">
        <f t="shared" si="1"/>
        <v>66.66666666666666</v>
      </c>
      <c r="I31" s="287">
        <f>G31/150%</f>
        <v>335118.0630897778</v>
      </c>
      <c r="J31" s="273">
        <f t="shared" si="0"/>
        <v>66.66666666666667</v>
      </c>
    </row>
    <row r="32" spans="1:10" s="6" customFormat="1" ht="24.75" customHeight="1">
      <c r="A32" s="168" t="s">
        <v>13</v>
      </c>
      <c r="B32" s="133" t="s">
        <v>200</v>
      </c>
      <c r="C32" s="127" t="s">
        <v>20</v>
      </c>
      <c r="D32" s="287">
        <v>11168629</v>
      </c>
      <c r="E32" s="287">
        <v>11148401</v>
      </c>
      <c r="F32" s="287">
        <f aca="true" t="shared" si="2" ref="F32:F37">E32*40%</f>
        <v>4459360.4</v>
      </c>
      <c r="G32" s="287">
        <f>E32</f>
        <v>11148401</v>
      </c>
      <c r="H32" s="290">
        <f t="shared" si="1"/>
        <v>99.81888555882732</v>
      </c>
      <c r="I32" s="287">
        <f>G32*105%</f>
        <v>11705821.05</v>
      </c>
      <c r="J32" s="273">
        <f t="shared" si="0"/>
        <v>105</v>
      </c>
    </row>
    <row r="33" spans="1:10" s="6" customFormat="1" ht="24.75" customHeight="1">
      <c r="A33" s="168" t="s">
        <v>13</v>
      </c>
      <c r="B33" s="133" t="s">
        <v>201</v>
      </c>
      <c r="C33" s="127" t="s">
        <v>20</v>
      </c>
      <c r="D33" s="287">
        <v>26554686</v>
      </c>
      <c r="E33" s="287">
        <v>56853090</v>
      </c>
      <c r="F33" s="287">
        <f t="shared" si="2"/>
        <v>22741236</v>
      </c>
      <c r="G33" s="287">
        <f>E33*50%</f>
        <v>28426545</v>
      </c>
      <c r="H33" s="290">
        <f t="shared" si="1"/>
        <v>107.04907224284257</v>
      </c>
      <c r="I33" s="287">
        <f>G33*105%</f>
        <v>29847872.25</v>
      </c>
      <c r="J33" s="273">
        <f t="shared" si="0"/>
        <v>105</v>
      </c>
    </row>
    <row r="34" spans="1:10" s="6" customFormat="1" ht="24.75" customHeight="1">
      <c r="A34" s="168" t="s">
        <v>13</v>
      </c>
      <c r="B34" s="133" t="s">
        <v>202</v>
      </c>
      <c r="C34" s="127" t="s">
        <v>20</v>
      </c>
      <c r="D34" s="287">
        <v>11354037</v>
      </c>
      <c r="E34" s="287">
        <v>13049912</v>
      </c>
      <c r="F34" s="287">
        <f t="shared" si="2"/>
        <v>5219964.800000001</v>
      </c>
      <c r="G34" s="287">
        <f>E34</f>
        <v>13049912</v>
      </c>
      <c r="H34" s="290">
        <f t="shared" si="1"/>
        <v>114.93631736447574</v>
      </c>
      <c r="I34" s="287">
        <f>G34*105%</f>
        <v>13702407.600000001</v>
      </c>
      <c r="J34" s="273">
        <f t="shared" si="0"/>
        <v>105</v>
      </c>
    </row>
    <row r="35" spans="1:10" s="6" customFormat="1" ht="24.75" customHeight="1">
      <c r="A35" s="168" t="s">
        <v>13</v>
      </c>
      <c r="B35" s="133" t="s">
        <v>181</v>
      </c>
      <c r="C35" s="127" t="s">
        <v>20</v>
      </c>
      <c r="D35" s="287">
        <v>122171.915</v>
      </c>
      <c r="E35" s="287">
        <v>252309</v>
      </c>
      <c r="F35" s="287">
        <f t="shared" si="2"/>
        <v>100923.6</v>
      </c>
      <c r="G35" s="287">
        <f>E35</f>
        <v>252309</v>
      </c>
      <c r="H35" s="290">
        <f t="shared" si="1"/>
        <v>206.51964078650974</v>
      </c>
      <c r="I35" s="287">
        <f>G35*105%</f>
        <v>264924.45</v>
      </c>
      <c r="J35" s="273">
        <f t="shared" si="0"/>
        <v>105</v>
      </c>
    </row>
    <row r="36" spans="1:10" s="6" customFormat="1" ht="24.75" customHeight="1">
      <c r="A36" s="168" t="s">
        <v>13</v>
      </c>
      <c r="B36" s="133" t="s">
        <v>203</v>
      </c>
      <c r="C36" s="127" t="s">
        <v>20</v>
      </c>
      <c r="D36" s="287">
        <v>133024.621</v>
      </c>
      <c r="E36" s="287">
        <v>167587</v>
      </c>
      <c r="F36" s="287">
        <f t="shared" si="2"/>
        <v>67034.8</v>
      </c>
      <c r="G36" s="287">
        <f>E36</f>
        <v>167587</v>
      </c>
      <c r="H36" s="290">
        <f t="shared" si="1"/>
        <v>125.981941343024</v>
      </c>
      <c r="I36" s="287">
        <f>G36/105%</f>
        <v>159606.66666666666</v>
      </c>
      <c r="J36" s="273">
        <f t="shared" si="0"/>
        <v>95.23809523809523</v>
      </c>
    </row>
    <row r="37" spans="1:10" s="6" customFormat="1" ht="24.75" customHeight="1">
      <c r="A37" s="168" t="s">
        <v>13</v>
      </c>
      <c r="B37" s="133" t="s">
        <v>204</v>
      </c>
      <c r="C37" s="127" t="s">
        <v>20</v>
      </c>
      <c r="D37" s="287">
        <v>309197.609</v>
      </c>
      <c r="E37" s="287">
        <v>241501</v>
      </c>
      <c r="F37" s="287">
        <f t="shared" si="2"/>
        <v>96600.40000000001</v>
      </c>
      <c r="G37" s="287">
        <f>E37</f>
        <v>241501</v>
      </c>
      <c r="H37" s="290">
        <f t="shared" si="1"/>
        <v>78.10571394166247</v>
      </c>
      <c r="I37" s="287">
        <f>G37*115%</f>
        <v>277726.14999999997</v>
      </c>
      <c r="J37" s="273">
        <f t="shared" si="0"/>
        <v>114.99999999999999</v>
      </c>
    </row>
    <row r="38" spans="1:10" s="6" customFormat="1" ht="34.5" customHeight="1">
      <c r="A38" s="168" t="s">
        <v>13</v>
      </c>
      <c r="B38" s="133" t="s">
        <v>205</v>
      </c>
      <c r="C38" s="127" t="s">
        <v>20</v>
      </c>
      <c r="D38" s="285"/>
      <c r="E38" s="292">
        <v>453</v>
      </c>
      <c r="F38" s="292"/>
      <c r="G38" s="292"/>
      <c r="H38" s="280"/>
      <c r="I38" s="293">
        <v>453</v>
      </c>
      <c r="J38" s="273"/>
    </row>
    <row r="39" spans="1:10" s="4" customFormat="1" ht="24.75" customHeight="1">
      <c r="A39" s="10" t="s">
        <v>91</v>
      </c>
      <c r="B39" s="11" t="s">
        <v>206</v>
      </c>
      <c r="C39" s="20"/>
      <c r="D39" s="294"/>
      <c r="E39" s="294"/>
      <c r="F39" s="294"/>
      <c r="G39" s="294"/>
      <c r="H39" s="294"/>
      <c r="I39" s="294"/>
      <c r="J39" s="273"/>
    </row>
    <row r="40" spans="1:10" s="6" customFormat="1" ht="24.75" customHeight="1">
      <c r="A40" s="139" t="s">
        <v>107</v>
      </c>
      <c r="B40" s="140" t="s">
        <v>207</v>
      </c>
      <c r="C40" s="139"/>
      <c r="D40" s="285"/>
      <c r="E40" s="285"/>
      <c r="F40" s="285"/>
      <c r="G40" s="285"/>
      <c r="H40" s="285"/>
      <c r="I40" s="285"/>
      <c r="J40" s="273"/>
    </row>
    <row r="41" spans="1:10" s="5" customFormat="1" ht="24.75" customHeight="1">
      <c r="A41" s="141">
        <v>1</v>
      </c>
      <c r="B41" s="142" t="s">
        <v>208</v>
      </c>
      <c r="C41" s="141" t="s">
        <v>207</v>
      </c>
      <c r="D41" s="295">
        <v>213</v>
      </c>
      <c r="E41" s="295">
        <v>160</v>
      </c>
      <c r="F41" s="295">
        <v>199</v>
      </c>
      <c r="G41" s="295">
        <v>196</v>
      </c>
      <c r="H41" s="296" t="s">
        <v>489</v>
      </c>
      <c r="I41" s="295">
        <f>G41+I43-I44</f>
        <v>191</v>
      </c>
      <c r="J41" s="273">
        <f>I41/G41*100</f>
        <v>97.44897959183673</v>
      </c>
    </row>
    <row r="42" spans="1:10" s="6" customFormat="1" ht="24.75" customHeight="1">
      <c r="A42" s="141"/>
      <c r="B42" s="143" t="s">
        <v>12</v>
      </c>
      <c r="C42" s="141"/>
      <c r="D42" s="295"/>
      <c r="E42" s="295"/>
      <c r="F42" s="295"/>
      <c r="G42" s="295"/>
      <c r="H42" s="297"/>
      <c r="I42" s="295"/>
      <c r="J42" s="273"/>
    </row>
    <row r="43" spans="1:10" s="5" customFormat="1" ht="24.75" customHeight="1">
      <c r="A43" s="156" t="s">
        <v>13</v>
      </c>
      <c r="B43" s="142" t="s">
        <v>209</v>
      </c>
      <c r="C43" s="141" t="s">
        <v>207</v>
      </c>
      <c r="D43" s="295">
        <v>25</v>
      </c>
      <c r="E43" s="295">
        <v>20</v>
      </c>
      <c r="F43" s="295">
        <v>13</v>
      </c>
      <c r="G43" s="295">
        <v>20</v>
      </c>
      <c r="H43" s="298">
        <f>G43/E43*100</f>
        <v>100</v>
      </c>
      <c r="I43" s="295">
        <v>20</v>
      </c>
      <c r="J43" s="273">
        <f t="shared" si="0"/>
        <v>100</v>
      </c>
    </row>
    <row r="44" spans="1:10" s="6" customFormat="1" ht="24.75" customHeight="1">
      <c r="A44" s="156" t="s">
        <v>13</v>
      </c>
      <c r="B44" s="142" t="s">
        <v>210</v>
      </c>
      <c r="C44" s="141" t="s">
        <v>207</v>
      </c>
      <c r="D44" s="295">
        <v>3</v>
      </c>
      <c r="E44" s="295">
        <v>65</v>
      </c>
      <c r="F44" s="295">
        <v>27</v>
      </c>
      <c r="G44" s="295">
        <v>37</v>
      </c>
      <c r="H44" s="298">
        <f>G44/E44*100</f>
        <v>56.92307692307692</v>
      </c>
      <c r="I44" s="295">
        <v>25</v>
      </c>
      <c r="J44" s="273">
        <f t="shared" si="0"/>
        <v>67.56756756756756</v>
      </c>
    </row>
    <row r="45" spans="1:10" s="5" customFormat="1" ht="24.75" customHeight="1">
      <c r="A45" s="141">
        <v>2</v>
      </c>
      <c r="B45" s="142" t="s">
        <v>211</v>
      </c>
      <c r="C45" s="141" t="s">
        <v>196</v>
      </c>
      <c r="D45" s="299">
        <v>18431</v>
      </c>
      <c r="E45" s="299">
        <v>11027</v>
      </c>
      <c r="F45" s="299">
        <v>11093</v>
      </c>
      <c r="G45" s="299">
        <v>10987</v>
      </c>
      <c r="H45" s="295" t="s">
        <v>490</v>
      </c>
      <c r="I45" s="299">
        <v>11368</v>
      </c>
      <c r="J45" s="273">
        <f t="shared" si="0"/>
        <v>103.46773459543097</v>
      </c>
    </row>
    <row r="46" spans="1:10" s="6" customFormat="1" ht="24.75" customHeight="1">
      <c r="A46" s="141">
        <v>3</v>
      </c>
      <c r="B46" s="142" t="s">
        <v>212</v>
      </c>
      <c r="C46" s="141" t="s">
        <v>196</v>
      </c>
      <c r="D46" s="299">
        <v>19466</v>
      </c>
      <c r="E46" s="299">
        <v>12062</v>
      </c>
      <c r="F46" s="299">
        <v>11591</v>
      </c>
      <c r="G46" s="299">
        <v>12062</v>
      </c>
      <c r="H46" s="295">
        <v>100</v>
      </c>
      <c r="I46" s="299">
        <v>12655</v>
      </c>
      <c r="J46" s="273">
        <f t="shared" si="0"/>
        <v>104.91626595921075</v>
      </c>
    </row>
    <row r="47" spans="1:10" s="5" customFormat="1" ht="38.25" customHeight="1">
      <c r="A47" s="141"/>
      <c r="B47" s="143" t="s">
        <v>213</v>
      </c>
      <c r="C47" s="141" t="s">
        <v>196</v>
      </c>
      <c r="D47" s="299">
        <v>18431</v>
      </c>
      <c r="E47" s="299">
        <v>11027</v>
      </c>
      <c r="F47" s="299">
        <v>11093</v>
      </c>
      <c r="G47" s="299">
        <v>10987</v>
      </c>
      <c r="H47" s="295" t="s">
        <v>490</v>
      </c>
      <c r="I47" s="299">
        <v>11343</v>
      </c>
      <c r="J47" s="273">
        <f t="shared" si="0"/>
        <v>103.24019295531082</v>
      </c>
    </row>
    <row r="48" spans="1:10" s="5" customFormat="1" ht="26.25" customHeight="1">
      <c r="A48" s="141">
        <v>4</v>
      </c>
      <c r="B48" s="142" t="s">
        <v>432</v>
      </c>
      <c r="C48" s="141" t="s">
        <v>20</v>
      </c>
      <c r="D48" s="299">
        <v>105141</v>
      </c>
      <c r="E48" s="299">
        <v>160000</v>
      </c>
      <c r="F48" s="299">
        <v>75750</v>
      </c>
      <c r="G48" s="299">
        <v>122664</v>
      </c>
      <c r="H48" s="295" t="s">
        <v>491</v>
      </c>
      <c r="I48" s="299">
        <v>134519</v>
      </c>
      <c r="J48" s="273">
        <f t="shared" si="0"/>
        <v>109.66461227417987</v>
      </c>
    </row>
    <row r="49" spans="1:10" s="5" customFormat="1" ht="26.25" customHeight="1">
      <c r="A49" s="141"/>
      <c r="B49" s="163" t="s">
        <v>433</v>
      </c>
      <c r="C49" s="164" t="s">
        <v>20</v>
      </c>
      <c r="D49" s="299">
        <v>50000</v>
      </c>
      <c r="E49" s="299">
        <v>80000</v>
      </c>
      <c r="F49" s="299">
        <v>33835</v>
      </c>
      <c r="G49" s="299">
        <v>60322</v>
      </c>
      <c r="H49" s="295" t="s">
        <v>492</v>
      </c>
      <c r="I49" s="299">
        <v>63224</v>
      </c>
      <c r="J49" s="273">
        <f t="shared" si="0"/>
        <v>104.81084844666955</v>
      </c>
    </row>
    <row r="50" spans="1:10" s="141" customFormat="1" ht="26.25" customHeight="1">
      <c r="A50" s="141">
        <v>5</v>
      </c>
      <c r="B50" s="165" t="s">
        <v>434</v>
      </c>
      <c r="C50" s="141" t="s">
        <v>20</v>
      </c>
      <c r="D50" s="300">
        <v>23</v>
      </c>
      <c r="E50" s="300">
        <v>26</v>
      </c>
      <c r="F50" s="299">
        <v>14</v>
      </c>
      <c r="G50" s="299">
        <v>28</v>
      </c>
      <c r="H50" s="295" t="s">
        <v>493</v>
      </c>
      <c r="I50" s="299">
        <v>28</v>
      </c>
      <c r="J50" s="273">
        <f t="shared" si="0"/>
        <v>100</v>
      </c>
    </row>
    <row r="51" spans="1:10" s="6" customFormat="1" ht="24.75" customHeight="1">
      <c r="A51" s="139" t="s">
        <v>117</v>
      </c>
      <c r="B51" s="140" t="s">
        <v>214</v>
      </c>
      <c r="C51" s="141"/>
      <c r="D51" s="285"/>
      <c r="E51" s="285"/>
      <c r="F51" s="285"/>
      <c r="G51" s="285"/>
      <c r="H51" s="285"/>
      <c r="I51" s="285"/>
      <c r="J51" s="285"/>
    </row>
    <row r="52" spans="1:10" s="6" customFormat="1" ht="31.5" customHeight="1">
      <c r="A52" s="156" t="s">
        <v>13</v>
      </c>
      <c r="B52" s="142" t="s">
        <v>215</v>
      </c>
      <c r="C52" s="234" t="s">
        <v>523</v>
      </c>
      <c r="D52" s="285"/>
      <c r="E52" s="285"/>
      <c r="F52" s="285"/>
      <c r="G52" s="285"/>
      <c r="H52" s="285"/>
      <c r="I52" s="301"/>
      <c r="J52" s="285"/>
    </row>
    <row r="53" spans="1:10" s="5" customFormat="1" ht="30" customHeight="1">
      <c r="A53" s="141"/>
      <c r="B53" s="157" t="s">
        <v>216</v>
      </c>
      <c r="C53" s="234" t="s">
        <v>523</v>
      </c>
      <c r="D53" s="283"/>
      <c r="E53" s="283"/>
      <c r="F53" s="283"/>
      <c r="G53" s="302"/>
      <c r="H53" s="283"/>
      <c r="I53" s="283"/>
      <c r="J53" s="283"/>
    </row>
    <row r="54" spans="1:10" s="6" customFormat="1" ht="24.75" customHeight="1">
      <c r="A54" s="139" t="s">
        <v>122</v>
      </c>
      <c r="B54" s="140" t="s">
        <v>217</v>
      </c>
      <c r="C54" s="139"/>
      <c r="D54" s="285"/>
      <c r="E54" s="285"/>
      <c r="F54" s="285"/>
      <c r="G54" s="285"/>
      <c r="H54" s="285"/>
      <c r="I54" s="285"/>
      <c r="J54" s="285"/>
    </row>
    <row r="55" spans="1:10" s="6" customFormat="1" ht="24.75" customHeight="1">
      <c r="A55" s="141">
        <v>1</v>
      </c>
      <c r="B55" s="142" t="s">
        <v>218</v>
      </c>
      <c r="C55" s="141" t="s">
        <v>219</v>
      </c>
      <c r="D55" s="285">
        <v>391</v>
      </c>
      <c r="E55" s="285">
        <v>410</v>
      </c>
      <c r="F55" s="285">
        <v>399</v>
      </c>
      <c r="G55" s="285">
        <v>410</v>
      </c>
      <c r="H55" s="303">
        <v>1.05</v>
      </c>
      <c r="I55" s="285">
        <v>430</v>
      </c>
      <c r="J55" s="303">
        <v>1.05</v>
      </c>
    </row>
    <row r="56" spans="1:10" s="5" customFormat="1" ht="24.75" customHeight="1">
      <c r="A56" s="141"/>
      <c r="B56" s="142" t="s">
        <v>220</v>
      </c>
      <c r="C56" s="141" t="s">
        <v>219</v>
      </c>
      <c r="D56" s="295">
        <v>100</v>
      </c>
      <c r="E56" s="295">
        <v>160</v>
      </c>
      <c r="F56" s="295">
        <v>100</v>
      </c>
      <c r="G56" s="295">
        <v>112</v>
      </c>
      <c r="H56" s="304">
        <v>1.12</v>
      </c>
      <c r="I56" s="305">
        <v>112</v>
      </c>
      <c r="J56" s="285"/>
    </row>
    <row r="57" spans="1:10" s="6" customFormat="1" ht="24.75" customHeight="1" thickBot="1">
      <c r="A57" s="144">
        <v>2</v>
      </c>
      <c r="B57" s="145" t="s">
        <v>221</v>
      </c>
      <c r="C57" s="144" t="s">
        <v>222</v>
      </c>
      <c r="D57" s="306">
        <v>3423</v>
      </c>
      <c r="E57" s="306">
        <v>3523</v>
      </c>
      <c r="F57" s="307">
        <v>3462</v>
      </c>
      <c r="G57" s="307">
        <v>3510</v>
      </c>
      <c r="H57" s="308">
        <v>1.03</v>
      </c>
      <c r="I57" s="307">
        <v>3600</v>
      </c>
      <c r="J57" s="303">
        <v>1.03</v>
      </c>
    </row>
    <row r="58" spans="1:10" s="6" customFormat="1" ht="135" customHeight="1" thickTop="1">
      <c r="A58" s="1373" t="s">
        <v>494</v>
      </c>
      <c r="B58" s="1374"/>
      <c r="C58" s="1374"/>
      <c r="D58" s="1374"/>
      <c r="E58" s="1374"/>
      <c r="F58" s="1374"/>
      <c r="G58" s="1374"/>
      <c r="H58" s="1374"/>
      <c r="I58" s="1374"/>
      <c r="J58" s="1375"/>
    </row>
    <row r="59" spans="1:10" ht="18" customHeight="1">
      <c r="A59" s="171"/>
      <c r="B59" s="172"/>
      <c r="C59" s="171"/>
      <c r="D59" s="207"/>
      <c r="E59" s="207"/>
      <c r="F59" s="173"/>
      <c r="G59" s="173"/>
      <c r="H59" s="174"/>
      <c r="I59" s="173"/>
      <c r="J59" s="175"/>
    </row>
    <row r="60" ht="18" customHeight="1"/>
    <row r="61" ht="18" customHeight="1">
      <c r="E61" s="208"/>
    </row>
    <row r="62" ht="18" customHeight="1"/>
  </sheetData>
  <sheetProtection/>
  <mergeCells count="11">
    <mergeCell ref="A2:J2"/>
    <mergeCell ref="A3:J3"/>
    <mergeCell ref="A6:A7"/>
    <mergeCell ref="B6:B7"/>
    <mergeCell ref="C6:C7"/>
    <mergeCell ref="D6:D7"/>
    <mergeCell ref="E6:H6"/>
    <mergeCell ref="I6:I7"/>
    <mergeCell ref="J6:J7"/>
    <mergeCell ref="A4:J4"/>
    <mergeCell ref="A58:J58"/>
  </mergeCells>
  <printOptions horizontalCentered="1"/>
  <pageMargins left="0.5905511811023623" right="0.1968503937007874" top="0.3" bottom="0.1968503937007874" header="0.56" footer="0.31496062992125984"/>
  <pageSetup firstPageNumber="1" useFirstPageNumber="1" fitToHeight="0" fitToWidth="1" horizontalDpi="600" verticalDpi="600" orientation="landscape" paperSize="9" scale="99" r:id="rId1"/>
  <headerFooter differentFirst="1">
    <oddFooter>&amp;R&amp;P</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AN329"/>
  <sheetViews>
    <sheetView view="pageBreakPreview" zoomScale="85" zoomScaleNormal="70" zoomScaleSheetLayoutView="85" zoomScalePageLayoutView="0" workbookViewId="0" topLeftCell="A1">
      <selection activeCell="N29" sqref="N29"/>
    </sheetView>
  </sheetViews>
  <sheetFormatPr defaultColWidth="9.00390625" defaultRowHeight="15.75"/>
  <cols>
    <col min="1" max="1" width="5.50390625" style="111" customWidth="1"/>
    <col min="2" max="2" width="40.50390625" style="112" customWidth="1"/>
    <col min="3" max="4" width="11.375" style="113" customWidth="1"/>
    <col min="5" max="5" width="11.875" style="114" customWidth="1"/>
    <col min="6" max="6" width="10.75390625" style="114" hidden="1" customWidth="1"/>
    <col min="7" max="7" width="10.75390625" style="114" customWidth="1"/>
    <col min="8" max="8" width="13.50390625" style="114" customWidth="1"/>
    <col min="9" max="9" width="10.75390625" style="114" customWidth="1"/>
    <col min="10" max="10" width="11.50390625" style="114" customWidth="1"/>
    <col min="11" max="13" width="10.75390625" style="114" customWidth="1"/>
    <col min="14" max="17" width="10.00390625" style="114" customWidth="1"/>
    <col min="18" max="22" width="9.375" style="115" customWidth="1"/>
    <col min="23" max="23" width="10.25390625" style="115" customWidth="1"/>
    <col min="24" max="28" width="9.375" style="115" customWidth="1"/>
    <col min="29" max="29" width="10.00390625" style="115" customWidth="1"/>
    <col min="30" max="16384" width="9.00390625" style="115" customWidth="1"/>
  </cols>
  <sheetData>
    <row r="1" spans="1:40" s="110" customFormat="1" ht="19.5">
      <c r="A1" s="72"/>
      <c r="B1" s="150"/>
      <c r="C1" s="150"/>
      <c r="D1" s="150"/>
      <c r="E1" s="150"/>
      <c r="F1" s="150"/>
      <c r="G1" s="150"/>
      <c r="H1" s="150"/>
      <c r="I1" s="150"/>
      <c r="J1" s="176" t="s">
        <v>461</v>
      </c>
      <c r="K1" s="150"/>
      <c r="L1" s="150"/>
      <c r="N1" s="150"/>
      <c r="O1" s="177"/>
      <c r="P1" s="178"/>
      <c r="Q1" s="179"/>
      <c r="R1" s="179"/>
      <c r="S1" s="178"/>
      <c r="T1" s="178"/>
      <c r="U1" s="178"/>
      <c r="V1" s="178"/>
      <c r="W1" s="178"/>
      <c r="X1" s="178"/>
      <c r="Y1" s="178"/>
      <c r="Z1" s="178"/>
      <c r="AA1" s="150"/>
      <c r="AB1" s="150"/>
      <c r="AD1" s="150"/>
      <c r="AE1" s="150"/>
      <c r="AF1" s="150"/>
      <c r="AG1" s="150"/>
      <c r="AH1" s="150"/>
      <c r="AI1" s="150"/>
      <c r="AJ1" s="150"/>
      <c r="AK1" s="150"/>
      <c r="AL1" s="150"/>
      <c r="AM1" s="150"/>
      <c r="AN1" s="150"/>
    </row>
    <row r="2" spans="1:40" s="110" customFormat="1" ht="16.5" customHeight="1">
      <c r="A2" s="1379" t="s">
        <v>224</v>
      </c>
      <c r="B2" s="1379"/>
      <c r="C2" s="1379"/>
      <c r="D2" s="1379"/>
      <c r="E2" s="1379"/>
      <c r="F2" s="1379"/>
      <c r="G2" s="1379"/>
      <c r="H2" s="1379"/>
      <c r="I2" s="1379"/>
      <c r="J2" s="1379"/>
      <c r="K2" s="150"/>
      <c r="L2" s="150"/>
      <c r="N2" s="150"/>
      <c r="O2" s="177"/>
      <c r="P2" s="178"/>
      <c r="Q2" s="179"/>
      <c r="R2" s="179"/>
      <c r="S2" s="178"/>
      <c r="T2" s="178"/>
      <c r="U2" s="178"/>
      <c r="V2" s="178"/>
      <c r="W2" s="178"/>
      <c r="X2" s="178"/>
      <c r="Y2" s="178"/>
      <c r="Z2" s="178"/>
      <c r="AA2" s="150"/>
      <c r="AB2" s="150"/>
      <c r="AD2" s="150"/>
      <c r="AE2" s="150"/>
      <c r="AF2" s="150"/>
      <c r="AG2" s="150"/>
      <c r="AH2" s="150"/>
      <c r="AI2" s="150"/>
      <c r="AJ2" s="150"/>
      <c r="AK2" s="150"/>
      <c r="AL2" s="150"/>
      <c r="AM2" s="150"/>
      <c r="AN2" s="150"/>
    </row>
    <row r="3" spans="1:40" s="110" customFormat="1" ht="11.25" customHeight="1">
      <c r="A3" s="206"/>
      <c r="B3" s="206"/>
      <c r="C3" s="206"/>
      <c r="D3" s="206"/>
      <c r="E3" s="206"/>
      <c r="F3" s="206"/>
      <c r="G3" s="206"/>
      <c r="H3" s="206"/>
      <c r="I3" s="1379"/>
      <c r="J3" s="1379"/>
      <c r="K3" s="150"/>
      <c r="L3" s="150"/>
      <c r="N3" s="150"/>
      <c r="O3" s="177"/>
      <c r="P3" s="178"/>
      <c r="Q3" s="179"/>
      <c r="R3" s="179"/>
      <c r="S3" s="178"/>
      <c r="T3" s="178"/>
      <c r="U3" s="178"/>
      <c r="V3" s="178"/>
      <c r="W3" s="178"/>
      <c r="X3" s="178"/>
      <c r="Y3" s="178"/>
      <c r="Z3" s="178"/>
      <c r="AA3" s="150"/>
      <c r="AB3" s="150"/>
      <c r="AD3" s="150"/>
      <c r="AE3" s="150"/>
      <c r="AF3" s="150"/>
      <c r="AG3" s="150"/>
      <c r="AH3" s="150"/>
      <c r="AI3" s="150"/>
      <c r="AJ3" s="150"/>
      <c r="AK3" s="150"/>
      <c r="AL3" s="150"/>
      <c r="AM3" s="150"/>
      <c r="AN3" s="150"/>
    </row>
    <row r="4" spans="1:26" ht="19.5">
      <c r="A4" s="1380" t="s">
        <v>225</v>
      </c>
      <c r="B4" s="1380"/>
      <c r="C4" s="1380"/>
      <c r="D4" s="1380"/>
      <c r="E4" s="1380"/>
      <c r="F4" s="1380"/>
      <c r="G4" s="1380"/>
      <c r="H4" s="1380"/>
      <c r="I4" s="1380"/>
      <c r="J4" s="1380"/>
      <c r="K4" s="118"/>
      <c r="L4" s="118"/>
      <c r="M4" s="118"/>
      <c r="N4" s="119"/>
      <c r="O4" s="180"/>
      <c r="P4" s="178"/>
      <c r="Q4" s="179"/>
      <c r="R4" s="179"/>
      <c r="S4" s="178"/>
      <c r="T4" s="178"/>
      <c r="U4" s="178"/>
      <c r="V4" s="178"/>
      <c r="W4" s="178"/>
      <c r="X4" s="178"/>
      <c r="Y4" s="178"/>
      <c r="Z4" s="178"/>
    </row>
    <row r="5" spans="1:26" ht="19.5">
      <c r="A5" s="1378" t="str">
        <f>'5. PTDN'!A4:J4</f>
        <v>(Kèm theo quyết định số          /QĐ-UBND ngày      /12/2018 của UBND tỉnh Điện Biên)</v>
      </c>
      <c r="B5" s="1378"/>
      <c r="C5" s="1378"/>
      <c r="D5" s="1378"/>
      <c r="E5" s="1378"/>
      <c r="F5" s="1378"/>
      <c r="G5" s="1378"/>
      <c r="H5" s="1378"/>
      <c r="I5" s="1378"/>
      <c r="J5" s="1378"/>
      <c r="K5" s="118"/>
      <c r="L5" s="118"/>
      <c r="M5" s="118"/>
      <c r="N5" s="119"/>
      <c r="O5" s="180"/>
      <c r="P5" s="178"/>
      <c r="Q5" s="179"/>
      <c r="R5" s="179"/>
      <c r="S5" s="178"/>
      <c r="T5" s="178"/>
      <c r="U5" s="178"/>
      <c r="V5" s="178"/>
      <c r="W5" s="178"/>
      <c r="X5" s="178"/>
      <c r="Y5" s="178"/>
      <c r="Z5" s="178"/>
    </row>
    <row r="6" spans="1:14" ht="15.75" customHeight="1">
      <c r="A6" s="115"/>
      <c r="B6" s="115"/>
      <c r="C6" s="115"/>
      <c r="D6" s="115"/>
      <c r="E6" s="115"/>
      <c r="F6" s="115"/>
      <c r="G6" s="115"/>
      <c r="H6" s="115"/>
      <c r="I6" s="115"/>
      <c r="J6" s="115"/>
      <c r="K6" s="115"/>
      <c r="L6" s="115"/>
      <c r="M6" s="115"/>
      <c r="N6" s="115"/>
    </row>
    <row r="7" spans="1:17" s="184" customFormat="1" ht="19.5" customHeight="1">
      <c r="A7" s="1298" t="s">
        <v>226</v>
      </c>
      <c r="B7" s="1298" t="s">
        <v>3</v>
      </c>
      <c r="C7" s="1298" t="s">
        <v>227</v>
      </c>
      <c r="D7" s="1371" t="s">
        <v>472</v>
      </c>
      <c r="E7" s="1299" t="s">
        <v>468</v>
      </c>
      <c r="F7" s="1300"/>
      <c r="G7" s="1300"/>
      <c r="H7" s="1301"/>
      <c r="I7" s="1371" t="s">
        <v>470</v>
      </c>
      <c r="J7" s="1371" t="s">
        <v>471</v>
      </c>
      <c r="O7" s="185"/>
      <c r="P7" s="185"/>
      <c r="Q7" s="185"/>
    </row>
    <row r="8" spans="1:17" s="184" customFormat="1" ht="63">
      <c r="A8" s="1298"/>
      <c r="B8" s="1298"/>
      <c r="C8" s="1298"/>
      <c r="D8" s="1372"/>
      <c r="E8" s="196" t="s">
        <v>5</v>
      </c>
      <c r="F8" s="196" t="s">
        <v>6</v>
      </c>
      <c r="G8" s="196" t="s">
        <v>7</v>
      </c>
      <c r="H8" s="196" t="s">
        <v>469</v>
      </c>
      <c r="I8" s="1372"/>
      <c r="J8" s="1372"/>
      <c r="O8" s="185"/>
      <c r="P8" s="185"/>
      <c r="Q8" s="185"/>
    </row>
    <row r="9" spans="1:14" ht="19.5">
      <c r="A9" s="136">
        <v>1</v>
      </c>
      <c r="B9" s="136">
        <v>2</v>
      </c>
      <c r="C9" s="136">
        <v>3</v>
      </c>
      <c r="D9" s="181">
        <v>4</v>
      </c>
      <c r="E9" s="181">
        <v>5</v>
      </c>
      <c r="F9" s="181">
        <v>6</v>
      </c>
      <c r="G9" s="181">
        <v>7</v>
      </c>
      <c r="H9" s="181" t="s">
        <v>8</v>
      </c>
      <c r="I9" s="181">
        <v>9</v>
      </c>
      <c r="J9" s="181" t="s">
        <v>9</v>
      </c>
      <c r="K9" s="115"/>
      <c r="L9" s="115"/>
      <c r="M9" s="115"/>
      <c r="N9" s="115"/>
    </row>
    <row r="10" spans="1:14" ht="24.75" customHeight="1">
      <c r="A10" s="169" t="s">
        <v>48</v>
      </c>
      <c r="B10" s="117" t="s">
        <v>228</v>
      </c>
      <c r="C10" s="169"/>
      <c r="D10" s="169"/>
      <c r="E10" s="117"/>
      <c r="F10" s="117"/>
      <c r="G10" s="117"/>
      <c r="H10" s="117"/>
      <c r="I10" s="117"/>
      <c r="J10" s="117"/>
      <c r="K10" s="115"/>
      <c r="L10" s="115"/>
      <c r="M10" s="115"/>
      <c r="N10" s="115"/>
    </row>
    <row r="11" spans="1:14" ht="24.75" customHeight="1">
      <c r="A11" s="136" t="s">
        <v>229</v>
      </c>
      <c r="B11" s="182" t="s">
        <v>230</v>
      </c>
      <c r="C11" s="136" t="s">
        <v>24</v>
      </c>
      <c r="D11" s="314">
        <v>3.07</v>
      </c>
      <c r="E11" s="315">
        <v>3</v>
      </c>
      <c r="F11" s="316">
        <v>0.13</v>
      </c>
      <c r="G11" s="316">
        <f>F11</f>
        <v>0.13</v>
      </c>
      <c r="H11" s="315"/>
      <c r="I11" s="315"/>
      <c r="J11" s="315"/>
      <c r="K11" s="115"/>
      <c r="L11" s="115"/>
      <c r="M11" s="115"/>
      <c r="N11" s="115"/>
    </row>
    <row r="12" spans="1:14" ht="24.75" customHeight="1">
      <c r="A12" s="136" t="s">
        <v>231</v>
      </c>
      <c r="B12" s="155" t="s">
        <v>232</v>
      </c>
      <c r="C12" s="138" t="s">
        <v>24</v>
      </c>
      <c r="D12" s="314">
        <v>2.76</v>
      </c>
      <c r="E12" s="315">
        <v>3</v>
      </c>
      <c r="F12" s="316">
        <v>0.12</v>
      </c>
      <c r="G12" s="316">
        <f>F12</f>
        <v>0.12</v>
      </c>
      <c r="H12" s="315"/>
      <c r="I12" s="315"/>
      <c r="J12" s="315"/>
      <c r="K12" s="115"/>
      <c r="L12" s="115"/>
      <c r="M12" s="115"/>
      <c r="N12" s="115"/>
    </row>
    <row r="13" spans="1:14" ht="24.75" customHeight="1">
      <c r="A13" s="136" t="s">
        <v>233</v>
      </c>
      <c r="B13" s="182" t="s">
        <v>234</v>
      </c>
      <c r="C13" s="136" t="s">
        <v>24</v>
      </c>
      <c r="D13" s="314"/>
      <c r="E13" s="315"/>
      <c r="F13" s="315"/>
      <c r="G13" s="315"/>
      <c r="H13" s="315"/>
      <c r="I13" s="315"/>
      <c r="J13" s="315"/>
      <c r="K13" s="115"/>
      <c r="L13" s="115"/>
      <c r="M13" s="115"/>
      <c r="N13" s="115"/>
    </row>
    <row r="14" spans="1:14" ht="24.75" customHeight="1">
      <c r="A14" s="136" t="s">
        <v>235</v>
      </c>
      <c r="B14" s="182" t="s">
        <v>236</v>
      </c>
      <c r="C14" s="136" t="s">
        <v>196</v>
      </c>
      <c r="D14" s="314"/>
      <c r="E14" s="315"/>
      <c r="F14" s="315"/>
      <c r="G14" s="315"/>
      <c r="H14" s="315"/>
      <c r="I14" s="315"/>
      <c r="J14" s="315"/>
      <c r="K14" s="115"/>
      <c r="L14" s="115"/>
      <c r="M14" s="115"/>
      <c r="N14" s="115"/>
    </row>
    <row r="15" spans="1:14" ht="24.75" customHeight="1">
      <c r="A15" s="136" t="s">
        <v>237</v>
      </c>
      <c r="B15" s="182" t="s">
        <v>238</v>
      </c>
      <c r="C15" s="136" t="s">
        <v>24</v>
      </c>
      <c r="D15" s="314"/>
      <c r="E15" s="315"/>
      <c r="F15" s="315"/>
      <c r="G15" s="315"/>
      <c r="H15" s="315"/>
      <c r="I15" s="315"/>
      <c r="J15" s="315"/>
      <c r="K15" s="115"/>
      <c r="L15" s="115"/>
      <c r="M15" s="115"/>
      <c r="N15" s="115"/>
    </row>
    <row r="16" spans="1:14" ht="24.75" customHeight="1">
      <c r="A16" s="169" t="s">
        <v>91</v>
      </c>
      <c r="B16" s="117" t="s">
        <v>239</v>
      </c>
      <c r="C16" s="169"/>
      <c r="D16" s="317"/>
      <c r="E16" s="317"/>
      <c r="F16" s="317"/>
      <c r="G16" s="317"/>
      <c r="H16" s="317"/>
      <c r="I16" s="317"/>
      <c r="J16" s="317"/>
      <c r="K16" s="115"/>
      <c r="L16" s="115"/>
      <c r="M16" s="115"/>
      <c r="N16" s="115"/>
    </row>
    <row r="17" spans="1:14" ht="24.75" customHeight="1">
      <c r="A17" s="169" t="s">
        <v>240</v>
      </c>
      <c r="B17" s="117" t="s">
        <v>241</v>
      </c>
      <c r="C17" s="169"/>
      <c r="D17" s="317"/>
      <c r="E17" s="315"/>
      <c r="F17" s="315"/>
      <c r="G17" s="315"/>
      <c r="H17" s="315"/>
      <c r="I17" s="315"/>
      <c r="J17" s="315"/>
      <c r="K17" s="115"/>
      <c r="L17" s="115"/>
      <c r="M17" s="115"/>
      <c r="N17" s="115"/>
    </row>
    <row r="18" spans="1:14" ht="24.75" customHeight="1">
      <c r="A18" s="136" t="s">
        <v>242</v>
      </c>
      <c r="B18" s="182" t="s">
        <v>243</v>
      </c>
      <c r="C18" s="136" t="s">
        <v>244</v>
      </c>
      <c r="D18" s="314">
        <v>1</v>
      </c>
      <c r="E18" s="315">
        <v>1</v>
      </c>
      <c r="F18" s="315"/>
      <c r="G18" s="315"/>
      <c r="H18" s="315"/>
      <c r="I18" s="315">
        <v>1</v>
      </c>
      <c r="J18" s="315"/>
      <c r="K18" s="115"/>
      <c r="L18" s="115"/>
      <c r="M18" s="115"/>
      <c r="N18" s="115"/>
    </row>
    <row r="19" spans="1:14" ht="24.75" customHeight="1">
      <c r="A19" s="136" t="s">
        <v>245</v>
      </c>
      <c r="B19" s="182" t="s">
        <v>246</v>
      </c>
      <c r="C19" s="136" t="s">
        <v>24</v>
      </c>
      <c r="D19" s="314">
        <v>3.2</v>
      </c>
      <c r="E19" s="315">
        <v>3</v>
      </c>
      <c r="F19" s="315"/>
      <c r="G19" s="315"/>
      <c r="H19" s="315"/>
      <c r="I19" s="315">
        <v>3</v>
      </c>
      <c r="J19" s="315"/>
      <c r="K19" s="115"/>
      <c r="L19" s="115"/>
      <c r="M19" s="115"/>
      <c r="N19" s="115"/>
    </row>
    <row r="20" spans="1:14" ht="24.75" customHeight="1">
      <c r="A20" s="169" t="s">
        <v>247</v>
      </c>
      <c r="B20" s="117" t="s">
        <v>248</v>
      </c>
      <c r="C20" s="169"/>
      <c r="D20" s="317"/>
      <c r="E20" s="315"/>
      <c r="F20" s="315"/>
      <c r="G20" s="315"/>
      <c r="H20" s="315"/>
      <c r="I20" s="315"/>
      <c r="J20" s="315"/>
      <c r="K20" s="115"/>
      <c r="L20" s="115"/>
      <c r="M20" s="115"/>
      <c r="N20" s="115"/>
    </row>
    <row r="21" spans="1:14" ht="24.75" customHeight="1">
      <c r="A21" s="136" t="s">
        <v>249</v>
      </c>
      <c r="B21" s="182" t="s">
        <v>250</v>
      </c>
      <c r="C21" s="136" t="s">
        <v>251</v>
      </c>
      <c r="D21" s="314">
        <v>0</v>
      </c>
      <c r="E21" s="315"/>
      <c r="F21" s="315"/>
      <c r="G21" s="315"/>
      <c r="H21" s="315"/>
      <c r="I21" s="315"/>
      <c r="J21" s="315"/>
      <c r="K21" s="115"/>
      <c r="L21" s="115"/>
      <c r="M21" s="115"/>
      <c r="N21" s="115"/>
    </row>
    <row r="22" spans="1:14" ht="24.75" customHeight="1">
      <c r="A22" s="136" t="s">
        <v>252</v>
      </c>
      <c r="B22" s="182" t="s">
        <v>253</v>
      </c>
      <c r="C22" s="136" t="s">
        <v>24</v>
      </c>
      <c r="D22" s="314">
        <v>0</v>
      </c>
      <c r="E22" s="315"/>
      <c r="F22" s="315"/>
      <c r="G22" s="315"/>
      <c r="H22" s="315"/>
      <c r="I22" s="315"/>
      <c r="J22" s="315"/>
      <c r="K22" s="115"/>
      <c r="L22" s="115"/>
      <c r="M22" s="115"/>
      <c r="N22" s="115"/>
    </row>
    <row r="23" spans="1:14" ht="24.75" customHeight="1">
      <c r="A23" s="136" t="s">
        <v>254</v>
      </c>
      <c r="B23" s="182" t="s">
        <v>255</v>
      </c>
      <c r="C23" s="136" t="s">
        <v>251</v>
      </c>
      <c r="D23" s="314">
        <v>0</v>
      </c>
      <c r="E23" s="315"/>
      <c r="F23" s="315"/>
      <c r="G23" s="315"/>
      <c r="H23" s="315"/>
      <c r="I23" s="315"/>
      <c r="J23" s="315"/>
      <c r="K23" s="115"/>
      <c r="L23" s="115"/>
      <c r="M23" s="115"/>
      <c r="N23" s="115"/>
    </row>
    <row r="24" spans="1:14" ht="24.75" customHeight="1">
      <c r="A24" s="136" t="s">
        <v>256</v>
      </c>
      <c r="B24" s="182" t="s">
        <v>257</v>
      </c>
      <c r="C24" s="136" t="s">
        <v>24</v>
      </c>
      <c r="D24" s="314">
        <v>0</v>
      </c>
      <c r="E24" s="315"/>
      <c r="F24" s="315"/>
      <c r="G24" s="315"/>
      <c r="H24" s="315"/>
      <c r="I24" s="315"/>
      <c r="J24" s="315"/>
      <c r="K24" s="115"/>
      <c r="L24" s="115"/>
      <c r="M24" s="115"/>
      <c r="N24" s="115"/>
    </row>
    <row r="25" spans="1:14" ht="24.75" customHeight="1">
      <c r="A25" s="169" t="s">
        <v>258</v>
      </c>
      <c r="B25" s="117" t="s">
        <v>259</v>
      </c>
      <c r="C25" s="169" t="s">
        <v>24</v>
      </c>
      <c r="D25" s="317">
        <v>0</v>
      </c>
      <c r="E25" s="318"/>
      <c r="F25" s="318"/>
      <c r="G25" s="318"/>
      <c r="H25" s="318"/>
      <c r="I25" s="318"/>
      <c r="J25" s="318"/>
      <c r="K25" s="115"/>
      <c r="L25" s="115"/>
      <c r="M25" s="115"/>
      <c r="N25" s="115"/>
    </row>
    <row r="26" spans="1:14" ht="24.75" customHeight="1">
      <c r="A26" s="154" t="s">
        <v>440</v>
      </c>
      <c r="B26" s="183" t="s">
        <v>437</v>
      </c>
      <c r="C26" s="154" t="s">
        <v>251</v>
      </c>
      <c r="D26" s="319">
        <v>0</v>
      </c>
      <c r="E26" s="265"/>
      <c r="F26" s="265"/>
      <c r="G26" s="265"/>
      <c r="H26" s="265"/>
      <c r="I26" s="265"/>
      <c r="J26" s="265"/>
      <c r="K26" s="115"/>
      <c r="L26" s="115"/>
      <c r="M26" s="115"/>
      <c r="N26" s="115"/>
    </row>
    <row r="27" spans="1:14" ht="24.75" customHeight="1">
      <c r="A27" s="154" t="s">
        <v>441</v>
      </c>
      <c r="B27" s="183" t="s">
        <v>438</v>
      </c>
      <c r="C27" s="154" t="s">
        <v>24</v>
      </c>
      <c r="D27" s="319">
        <v>0</v>
      </c>
      <c r="E27" s="265"/>
      <c r="F27" s="265"/>
      <c r="G27" s="265"/>
      <c r="H27" s="265"/>
      <c r="I27" s="265"/>
      <c r="J27" s="265"/>
      <c r="K27" s="115"/>
      <c r="L27" s="115"/>
      <c r="M27" s="115"/>
      <c r="N27" s="115"/>
    </row>
    <row r="28" spans="1:17" s="184" customFormat="1" ht="24.75" customHeight="1">
      <c r="A28" s="169" t="s">
        <v>442</v>
      </c>
      <c r="B28" s="117" t="s">
        <v>443</v>
      </c>
      <c r="C28" s="169" t="s">
        <v>24</v>
      </c>
      <c r="D28" s="317">
        <v>0</v>
      </c>
      <c r="E28" s="318"/>
      <c r="F28" s="318"/>
      <c r="G28" s="318"/>
      <c r="H28" s="318"/>
      <c r="I28" s="318"/>
      <c r="J28" s="318"/>
      <c r="O28" s="185"/>
      <c r="P28" s="185"/>
      <c r="Q28" s="185"/>
    </row>
    <row r="29" spans="1:14" ht="24.75" customHeight="1">
      <c r="A29" s="169" t="s">
        <v>101</v>
      </c>
      <c r="B29" s="117" t="s">
        <v>260</v>
      </c>
      <c r="C29" s="169"/>
      <c r="D29" s="317"/>
      <c r="E29" s="317"/>
      <c r="F29" s="317"/>
      <c r="G29" s="317"/>
      <c r="H29" s="317"/>
      <c r="I29" s="317"/>
      <c r="J29" s="317"/>
      <c r="K29" s="115"/>
      <c r="L29" s="115"/>
      <c r="M29" s="115"/>
      <c r="N29" s="115"/>
    </row>
    <row r="30" spans="1:14" ht="24.75" customHeight="1">
      <c r="A30" s="136" t="s">
        <v>261</v>
      </c>
      <c r="B30" s="182" t="s">
        <v>243</v>
      </c>
      <c r="C30" s="136" t="s">
        <v>244</v>
      </c>
      <c r="D30" s="314">
        <v>0</v>
      </c>
      <c r="E30" s="315"/>
      <c r="F30" s="317"/>
      <c r="G30" s="317"/>
      <c r="H30" s="317"/>
      <c r="I30" s="317"/>
      <c r="J30" s="317"/>
      <c r="K30" s="115"/>
      <c r="L30" s="115"/>
      <c r="M30" s="115"/>
      <c r="N30" s="115"/>
    </row>
    <row r="31" spans="1:14" ht="24.75" customHeight="1">
      <c r="A31" s="136" t="s">
        <v>262</v>
      </c>
      <c r="B31" s="182" t="s">
        <v>263</v>
      </c>
      <c r="C31" s="136" t="s">
        <v>24</v>
      </c>
      <c r="D31" s="314">
        <v>0</v>
      </c>
      <c r="E31" s="315"/>
      <c r="F31" s="317"/>
      <c r="G31" s="317"/>
      <c r="H31" s="317"/>
      <c r="I31" s="317"/>
      <c r="J31" s="317"/>
      <c r="K31" s="115"/>
      <c r="L31" s="115"/>
      <c r="M31" s="115"/>
      <c r="N31" s="115"/>
    </row>
    <row r="32" spans="1:14" ht="24.75" customHeight="1">
      <c r="A32" s="169" t="s">
        <v>104</v>
      </c>
      <c r="B32" s="117" t="s">
        <v>264</v>
      </c>
      <c r="C32" s="169"/>
      <c r="D32" s="317"/>
      <c r="E32" s="317"/>
      <c r="F32" s="317"/>
      <c r="G32" s="317"/>
      <c r="H32" s="317"/>
      <c r="I32" s="317"/>
      <c r="J32" s="317"/>
      <c r="K32" s="115"/>
      <c r="L32" s="115"/>
      <c r="M32" s="115"/>
      <c r="N32" s="115"/>
    </row>
    <row r="33" spans="1:14" ht="24.75" customHeight="1">
      <c r="A33" s="136" t="s">
        <v>265</v>
      </c>
      <c r="B33" s="182" t="s">
        <v>266</v>
      </c>
      <c r="C33" s="136" t="s">
        <v>244</v>
      </c>
      <c r="D33" s="314">
        <v>1</v>
      </c>
      <c r="E33" s="315">
        <v>1</v>
      </c>
      <c r="F33" s="317"/>
      <c r="G33" s="317"/>
      <c r="H33" s="317"/>
      <c r="I33" s="317">
        <v>1</v>
      </c>
      <c r="J33" s="317"/>
      <c r="K33" s="115"/>
      <c r="L33" s="115"/>
      <c r="M33" s="115"/>
      <c r="N33" s="115"/>
    </row>
    <row r="34" spans="1:14" ht="24.75" customHeight="1">
      <c r="A34" s="136" t="s">
        <v>267</v>
      </c>
      <c r="B34" s="182" t="s">
        <v>268</v>
      </c>
      <c r="C34" s="136" t="s">
        <v>24</v>
      </c>
      <c r="D34" s="314">
        <v>3.2</v>
      </c>
      <c r="E34" s="315">
        <v>3</v>
      </c>
      <c r="F34" s="317"/>
      <c r="G34" s="317"/>
      <c r="H34" s="317"/>
      <c r="I34" s="317">
        <v>3</v>
      </c>
      <c r="J34" s="317"/>
      <c r="K34" s="115"/>
      <c r="L34" s="115"/>
      <c r="M34" s="115"/>
      <c r="N34" s="115"/>
    </row>
    <row r="35" spans="1:14" ht="24.75" customHeight="1">
      <c r="A35" s="169"/>
      <c r="B35" s="117" t="s">
        <v>269</v>
      </c>
      <c r="C35" s="169"/>
      <c r="D35" s="317"/>
      <c r="E35" s="315"/>
      <c r="F35" s="317"/>
      <c r="G35" s="317"/>
      <c r="H35" s="317"/>
      <c r="I35" s="317"/>
      <c r="J35" s="317"/>
      <c r="K35" s="115"/>
      <c r="L35" s="115"/>
      <c r="M35" s="115"/>
      <c r="N35" s="115"/>
    </row>
    <row r="36" spans="1:14" ht="24.75" customHeight="1">
      <c r="A36" s="136" t="s">
        <v>270</v>
      </c>
      <c r="B36" s="182" t="s">
        <v>243</v>
      </c>
      <c r="C36" s="136" t="s">
        <v>244</v>
      </c>
      <c r="D36" s="314">
        <v>1</v>
      </c>
      <c r="E36" s="315">
        <v>1</v>
      </c>
      <c r="F36" s="317"/>
      <c r="G36" s="317"/>
      <c r="H36" s="317"/>
      <c r="I36" s="317">
        <v>1</v>
      </c>
      <c r="J36" s="317"/>
      <c r="K36" s="115"/>
      <c r="L36" s="115"/>
      <c r="M36" s="115"/>
      <c r="N36" s="115"/>
    </row>
    <row r="37" spans="1:14" ht="24.75" customHeight="1">
      <c r="A37" s="136" t="s">
        <v>271</v>
      </c>
      <c r="B37" s="182" t="s">
        <v>263</v>
      </c>
      <c r="C37" s="136" t="s">
        <v>24</v>
      </c>
      <c r="D37" s="314">
        <v>3.2</v>
      </c>
      <c r="E37" s="315">
        <v>3</v>
      </c>
      <c r="F37" s="317"/>
      <c r="G37" s="317"/>
      <c r="H37" s="317"/>
      <c r="I37" s="317">
        <v>3</v>
      </c>
      <c r="J37" s="317"/>
      <c r="K37" s="115"/>
      <c r="L37" s="115"/>
      <c r="M37" s="115"/>
      <c r="N37" s="115"/>
    </row>
    <row r="38" spans="1:14" ht="24.75" customHeight="1">
      <c r="A38" s="169"/>
      <c r="B38" s="117" t="s">
        <v>272</v>
      </c>
      <c r="C38" s="169"/>
      <c r="D38" s="317"/>
      <c r="E38" s="315"/>
      <c r="F38" s="317"/>
      <c r="G38" s="317"/>
      <c r="H38" s="317"/>
      <c r="I38" s="317"/>
      <c r="J38" s="317"/>
      <c r="K38" s="115"/>
      <c r="L38" s="115"/>
      <c r="M38" s="115"/>
      <c r="N38" s="115"/>
    </row>
    <row r="39" spans="1:14" ht="24.75" customHeight="1">
      <c r="A39" s="136" t="s">
        <v>273</v>
      </c>
      <c r="B39" s="182" t="s">
        <v>243</v>
      </c>
      <c r="C39" s="136" t="s">
        <v>244</v>
      </c>
      <c r="D39" s="314">
        <v>0</v>
      </c>
      <c r="E39" s="315">
        <v>0</v>
      </c>
      <c r="F39" s="317"/>
      <c r="G39" s="317"/>
      <c r="H39" s="317"/>
      <c r="I39" s="317">
        <v>0</v>
      </c>
      <c r="J39" s="317"/>
      <c r="K39" s="115"/>
      <c r="L39" s="115"/>
      <c r="M39" s="115"/>
      <c r="N39" s="115"/>
    </row>
    <row r="40" spans="1:14" ht="24.75" customHeight="1" thickBot="1">
      <c r="A40" s="186" t="s">
        <v>274</v>
      </c>
      <c r="B40" s="187" t="s">
        <v>275</v>
      </c>
      <c r="C40" s="186" t="s">
        <v>24</v>
      </c>
      <c r="D40" s="320">
        <v>0</v>
      </c>
      <c r="E40" s="321">
        <v>0</v>
      </c>
      <c r="F40" s="322"/>
      <c r="G40" s="322"/>
      <c r="H40" s="322"/>
      <c r="I40" s="322">
        <v>0</v>
      </c>
      <c r="J40" s="322"/>
      <c r="K40" s="115"/>
      <c r="L40" s="115"/>
      <c r="M40" s="115"/>
      <c r="N40" s="115"/>
    </row>
    <row r="41" spans="1:14" ht="20.25" thickTop="1">
      <c r="A41" s="188"/>
      <c r="B41" s="188"/>
      <c r="C41" s="189"/>
      <c r="D41" s="189"/>
      <c r="E41" s="188"/>
      <c r="F41" s="188"/>
      <c r="G41" s="188"/>
      <c r="H41" s="188"/>
      <c r="I41" s="188"/>
      <c r="J41" s="188"/>
      <c r="K41" s="115"/>
      <c r="L41" s="115"/>
      <c r="M41" s="115"/>
      <c r="N41" s="115"/>
    </row>
    <row r="42" spans="1:26" ht="19.5">
      <c r="A42" s="149" t="s">
        <v>276</v>
      </c>
      <c r="B42" s="188"/>
      <c r="C42" s="189"/>
      <c r="D42" s="189"/>
      <c r="E42" s="188"/>
      <c r="F42" s="188"/>
      <c r="G42" s="188"/>
      <c r="H42" s="188"/>
      <c r="I42" s="188"/>
      <c r="J42" s="188"/>
      <c r="K42" s="115"/>
      <c r="L42" s="115"/>
      <c r="M42" s="115"/>
      <c r="N42" s="115"/>
      <c r="O42" s="190"/>
      <c r="P42" s="178"/>
      <c r="Q42" s="179"/>
      <c r="R42" s="179"/>
      <c r="S42" s="178"/>
      <c r="T42" s="178"/>
      <c r="U42" s="178"/>
      <c r="V42" s="178"/>
      <c r="W42" s="178"/>
      <c r="X42" s="178"/>
      <c r="Y42" s="178"/>
      <c r="Z42" s="178"/>
    </row>
    <row r="43" spans="1:17" ht="19.5">
      <c r="A43" s="191"/>
      <c r="B43" s="188" t="s">
        <v>277</v>
      </c>
      <c r="C43" s="189"/>
      <c r="D43" s="189"/>
      <c r="E43" s="188"/>
      <c r="F43" s="188"/>
      <c r="G43" s="188"/>
      <c r="H43" s="188"/>
      <c r="I43" s="188"/>
      <c r="J43" s="188"/>
      <c r="K43" s="115"/>
      <c r="L43" s="115"/>
      <c r="M43" s="115"/>
      <c r="N43" s="115"/>
      <c r="O43" s="115"/>
      <c r="P43" s="115"/>
      <c r="Q43" s="115"/>
    </row>
    <row r="44" spans="1:17" ht="19.5">
      <c r="A44" s="188"/>
      <c r="B44" s="188" t="s">
        <v>278</v>
      </c>
      <c r="C44" s="189"/>
      <c r="D44" s="189"/>
      <c r="E44" s="188"/>
      <c r="F44" s="188"/>
      <c r="G44" s="188"/>
      <c r="H44" s="188"/>
      <c r="I44" s="188"/>
      <c r="J44" s="188"/>
      <c r="K44" s="115"/>
      <c r="L44" s="115"/>
      <c r="M44" s="115"/>
      <c r="N44" s="115"/>
      <c r="O44" s="115"/>
      <c r="P44" s="115"/>
      <c r="Q44" s="115"/>
    </row>
    <row r="45" spans="1:17" ht="19.5">
      <c r="A45" s="188"/>
      <c r="B45" s="166" t="s">
        <v>439</v>
      </c>
      <c r="C45" s="189"/>
      <c r="D45" s="189"/>
      <c r="E45" s="188"/>
      <c r="F45" s="188"/>
      <c r="G45" s="188"/>
      <c r="H45" s="188"/>
      <c r="I45" s="188"/>
      <c r="J45" s="188"/>
      <c r="K45" s="115"/>
      <c r="L45" s="115"/>
      <c r="M45" s="115"/>
      <c r="N45" s="115"/>
      <c r="O45" s="115"/>
      <c r="P45" s="115"/>
      <c r="Q45" s="115"/>
    </row>
    <row r="46" spans="1:17" ht="19.5">
      <c r="A46" s="188"/>
      <c r="B46" s="188" t="s">
        <v>279</v>
      </c>
      <c r="C46" s="189"/>
      <c r="D46" s="189"/>
      <c r="E46" s="188"/>
      <c r="F46" s="188"/>
      <c r="G46" s="188"/>
      <c r="H46" s="188"/>
      <c r="I46" s="188"/>
      <c r="J46" s="188"/>
      <c r="K46" s="115"/>
      <c r="L46" s="115"/>
      <c r="M46" s="115"/>
      <c r="N46" s="115"/>
      <c r="O46" s="115"/>
      <c r="P46" s="115"/>
      <c r="Q46" s="115"/>
    </row>
    <row r="47" spans="1:17" ht="19.5">
      <c r="A47" s="115"/>
      <c r="B47" s="115"/>
      <c r="C47" s="115"/>
      <c r="D47" s="115"/>
      <c r="E47" s="115"/>
      <c r="F47" s="115"/>
      <c r="G47" s="115"/>
      <c r="H47" s="115"/>
      <c r="I47" s="115"/>
      <c r="J47" s="115"/>
      <c r="K47" s="115"/>
      <c r="L47" s="115"/>
      <c r="M47" s="115"/>
      <c r="N47" s="115"/>
      <c r="O47" s="115"/>
      <c r="P47" s="115"/>
      <c r="Q47" s="115"/>
    </row>
    <row r="48" spans="1:17" ht="19.5">
      <c r="A48" s="115"/>
      <c r="B48" s="115"/>
      <c r="C48" s="115"/>
      <c r="D48" s="115"/>
      <c r="E48" s="115"/>
      <c r="F48" s="115"/>
      <c r="G48" s="115"/>
      <c r="H48" s="115"/>
      <c r="I48" s="115"/>
      <c r="J48" s="115"/>
      <c r="K48" s="115"/>
      <c r="L48" s="115"/>
      <c r="M48" s="115"/>
      <c r="N48" s="115"/>
      <c r="O48" s="115"/>
      <c r="P48" s="115"/>
      <c r="Q48" s="115"/>
    </row>
    <row r="49" spans="1:17" ht="19.5">
      <c r="A49" s="115"/>
      <c r="B49" s="115"/>
      <c r="C49" s="115"/>
      <c r="D49" s="115"/>
      <c r="E49" s="115"/>
      <c r="F49" s="115"/>
      <c r="G49" s="115"/>
      <c r="H49" s="115"/>
      <c r="I49" s="115"/>
      <c r="J49" s="115"/>
      <c r="K49" s="115"/>
      <c r="L49" s="115"/>
      <c r="M49" s="115"/>
      <c r="N49" s="115"/>
      <c r="O49" s="115"/>
      <c r="P49" s="115"/>
      <c r="Q49" s="115"/>
    </row>
    <row r="50" spans="1:17" ht="19.5">
      <c r="A50" s="115"/>
      <c r="B50" s="115"/>
      <c r="C50" s="115"/>
      <c r="D50" s="115"/>
      <c r="E50" s="115"/>
      <c r="F50" s="115"/>
      <c r="G50" s="115"/>
      <c r="H50" s="115"/>
      <c r="I50" s="115"/>
      <c r="J50" s="115"/>
      <c r="K50" s="115"/>
      <c r="L50" s="115"/>
      <c r="M50" s="115"/>
      <c r="N50" s="115"/>
      <c r="O50" s="115"/>
      <c r="P50" s="115"/>
      <c r="Q50" s="115"/>
    </row>
    <row r="51" spans="1:17" ht="19.5">
      <c r="A51" s="115"/>
      <c r="B51" s="115"/>
      <c r="C51" s="115"/>
      <c r="D51" s="115"/>
      <c r="E51" s="115"/>
      <c r="F51" s="115"/>
      <c r="G51" s="115"/>
      <c r="H51" s="115"/>
      <c r="I51" s="115"/>
      <c r="J51" s="115"/>
      <c r="K51" s="115"/>
      <c r="L51" s="115"/>
      <c r="M51" s="115"/>
      <c r="N51" s="115"/>
      <c r="O51" s="115"/>
      <c r="P51" s="115"/>
      <c r="Q51" s="115"/>
    </row>
    <row r="52" spans="1:17" ht="19.5">
      <c r="A52" s="115"/>
      <c r="B52" s="115"/>
      <c r="C52" s="115"/>
      <c r="D52" s="115"/>
      <c r="E52" s="115"/>
      <c r="F52" s="115"/>
      <c r="G52" s="115"/>
      <c r="H52" s="115"/>
      <c r="I52" s="115"/>
      <c r="J52" s="115"/>
      <c r="K52" s="115"/>
      <c r="L52" s="115"/>
      <c r="M52" s="115"/>
      <c r="N52" s="115"/>
      <c r="O52" s="115"/>
      <c r="P52" s="115"/>
      <c r="Q52" s="115"/>
    </row>
    <row r="53" spans="1:17" ht="19.5">
      <c r="A53" s="115"/>
      <c r="B53" s="115"/>
      <c r="C53" s="115"/>
      <c r="D53" s="115"/>
      <c r="E53" s="115"/>
      <c r="F53" s="115"/>
      <c r="G53" s="115"/>
      <c r="H53" s="115"/>
      <c r="I53" s="115"/>
      <c r="J53" s="115"/>
      <c r="K53" s="115"/>
      <c r="L53" s="115"/>
      <c r="M53" s="115"/>
      <c r="N53" s="115"/>
      <c r="O53" s="115"/>
      <c r="P53" s="115"/>
      <c r="Q53" s="115"/>
    </row>
    <row r="54" spans="1:17" ht="19.5">
      <c r="A54" s="115"/>
      <c r="B54" s="115"/>
      <c r="C54" s="115"/>
      <c r="D54" s="115"/>
      <c r="E54" s="115"/>
      <c r="F54" s="115"/>
      <c r="G54" s="115"/>
      <c r="H54" s="115"/>
      <c r="I54" s="115"/>
      <c r="J54" s="115"/>
      <c r="K54" s="115"/>
      <c r="L54" s="115"/>
      <c r="M54" s="115"/>
      <c r="N54" s="115"/>
      <c r="O54" s="115"/>
      <c r="P54" s="115"/>
      <c r="Q54" s="115"/>
    </row>
    <row r="55" spans="1:17" ht="19.5">
      <c r="A55" s="115"/>
      <c r="B55" s="115"/>
      <c r="C55" s="115"/>
      <c r="D55" s="115"/>
      <c r="E55" s="115"/>
      <c r="F55" s="115"/>
      <c r="G55" s="115"/>
      <c r="H55" s="115"/>
      <c r="I55" s="115"/>
      <c r="J55" s="115"/>
      <c r="K55" s="115"/>
      <c r="L55" s="115"/>
      <c r="M55" s="115"/>
      <c r="N55" s="115"/>
      <c r="O55" s="115"/>
      <c r="P55" s="115"/>
      <c r="Q55" s="115"/>
    </row>
    <row r="56" spans="1:17" ht="19.5">
      <c r="A56" s="115"/>
      <c r="B56" s="115"/>
      <c r="C56" s="115"/>
      <c r="D56" s="115"/>
      <c r="E56" s="115"/>
      <c r="F56" s="115"/>
      <c r="G56" s="115"/>
      <c r="H56" s="115"/>
      <c r="I56" s="115"/>
      <c r="J56" s="115"/>
      <c r="K56" s="115"/>
      <c r="L56" s="115"/>
      <c r="M56" s="115"/>
      <c r="N56" s="115"/>
      <c r="O56" s="115"/>
      <c r="P56" s="115"/>
      <c r="Q56" s="115"/>
    </row>
    <row r="57" spans="1:17" ht="19.5">
      <c r="A57" s="115"/>
      <c r="B57" s="115"/>
      <c r="C57" s="115"/>
      <c r="D57" s="115"/>
      <c r="E57" s="115"/>
      <c r="F57" s="115"/>
      <c r="G57" s="115"/>
      <c r="H57" s="115"/>
      <c r="I57" s="115"/>
      <c r="J57" s="115"/>
      <c r="K57" s="115"/>
      <c r="L57" s="115"/>
      <c r="M57" s="115"/>
      <c r="N57" s="115"/>
      <c r="O57" s="115"/>
      <c r="P57" s="115"/>
      <c r="Q57" s="115"/>
    </row>
    <row r="58" spans="1:17" ht="19.5">
      <c r="A58" s="115"/>
      <c r="B58" s="115"/>
      <c r="C58" s="115"/>
      <c r="D58" s="115"/>
      <c r="E58" s="115"/>
      <c r="F58" s="115"/>
      <c r="G58" s="115"/>
      <c r="H58" s="115"/>
      <c r="I58" s="115"/>
      <c r="J58" s="115"/>
      <c r="K58" s="115"/>
      <c r="L58" s="115"/>
      <c r="M58" s="115"/>
      <c r="N58" s="115"/>
      <c r="O58" s="115"/>
      <c r="P58" s="115"/>
      <c r="Q58" s="115"/>
    </row>
    <row r="59" spans="1:17" ht="19.5">
      <c r="A59" s="115"/>
      <c r="B59" s="115"/>
      <c r="C59" s="115"/>
      <c r="D59" s="115"/>
      <c r="E59" s="115"/>
      <c r="F59" s="115"/>
      <c r="G59" s="115"/>
      <c r="H59" s="115"/>
      <c r="I59" s="115"/>
      <c r="J59" s="115"/>
      <c r="K59" s="115"/>
      <c r="L59" s="115"/>
      <c r="M59" s="115"/>
      <c r="N59" s="115"/>
      <c r="O59" s="115"/>
      <c r="P59" s="115"/>
      <c r="Q59" s="115"/>
    </row>
    <row r="60" spans="1:17" ht="19.5">
      <c r="A60" s="115"/>
      <c r="B60" s="115"/>
      <c r="C60" s="115"/>
      <c r="D60" s="115"/>
      <c r="E60" s="115"/>
      <c r="F60" s="115"/>
      <c r="G60" s="115"/>
      <c r="H60" s="115"/>
      <c r="I60" s="115"/>
      <c r="J60" s="115"/>
      <c r="K60" s="115"/>
      <c r="L60" s="115"/>
      <c r="M60" s="115"/>
      <c r="N60" s="115"/>
      <c r="O60" s="115"/>
      <c r="P60" s="115"/>
      <c r="Q60" s="115"/>
    </row>
    <row r="61" spans="1:17" ht="19.5">
      <c r="A61" s="115"/>
      <c r="B61" s="115"/>
      <c r="C61" s="115"/>
      <c r="D61" s="115"/>
      <c r="E61" s="115"/>
      <c r="F61" s="115"/>
      <c r="G61" s="115"/>
      <c r="H61" s="115"/>
      <c r="I61" s="115"/>
      <c r="J61" s="115"/>
      <c r="K61" s="115"/>
      <c r="L61" s="115"/>
      <c r="M61" s="115"/>
      <c r="N61" s="115"/>
      <c r="O61" s="115"/>
      <c r="P61" s="115"/>
      <c r="Q61" s="115"/>
    </row>
    <row r="62" spans="1:17" ht="19.5">
      <c r="A62" s="115"/>
      <c r="B62" s="115"/>
      <c r="C62" s="115"/>
      <c r="D62" s="115"/>
      <c r="E62" s="115"/>
      <c r="F62" s="115"/>
      <c r="G62" s="115"/>
      <c r="H62" s="115"/>
      <c r="I62" s="115"/>
      <c r="J62" s="115"/>
      <c r="K62" s="115"/>
      <c r="L62" s="115"/>
      <c r="M62" s="115"/>
      <c r="N62" s="115"/>
      <c r="O62" s="115"/>
      <c r="P62" s="115"/>
      <c r="Q62" s="115"/>
    </row>
    <row r="63" spans="1:17" ht="19.5">
      <c r="A63" s="115"/>
      <c r="B63" s="115"/>
      <c r="C63" s="115"/>
      <c r="D63" s="115"/>
      <c r="E63" s="115"/>
      <c r="F63" s="115"/>
      <c r="G63" s="115"/>
      <c r="H63" s="115"/>
      <c r="I63" s="115"/>
      <c r="J63" s="115"/>
      <c r="K63" s="115"/>
      <c r="L63" s="115"/>
      <c r="M63" s="115"/>
      <c r="N63" s="115"/>
      <c r="O63" s="115"/>
      <c r="P63" s="115"/>
      <c r="Q63" s="115"/>
    </row>
    <row r="64" spans="1:17" ht="19.5">
      <c r="A64" s="115"/>
      <c r="B64" s="115"/>
      <c r="C64" s="115"/>
      <c r="D64" s="115"/>
      <c r="E64" s="115"/>
      <c r="F64" s="115"/>
      <c r="G64" s="115"/>
      <c r="H64" s="115"/>
      <c r="I64" s="115"/>
      <c r="J64" s="115"/>
      <c r="K64" s="115"/>
      <c r="L64" s="115"/>
      <c r="M64" s="115"/>
      <c r="N64" s="115"/>
      <c r="O64" s="115"/>
      <c r="P64" s="115"/>
      <c r="Q64" s="115"/>
    </row>
    <row r="65" spans="1:17" ht="19.5">
      <c r="A65" s="115"/>
      <c r="B65" s="115"/>
      <c r="C65" s="115"/>
      <c r="D65" s="115"/>
      <c r="E65" s="115"/>
      <c r="F65" s="115"/>
      <c r="G65" s="115"/>
      <c r="H65" s="115"/>
      <c r="I65" s="115"/>
      <c r="J65" s="115"/>
      <c r="K65" s="115"/>
      <c r="L65" s="115"/>
      <c r="M65" s="115"/>
      <c r="N65" s="115"/>
      <c r="O65" s="115"/>
      <c r="P65" s="115"/>
      <c r="Q65" s="115"/>
    </row>
    <row r="66" spans="1:17" ht="19.5">
      <c r="A66" s="115"/>
      <c r="B66" s="115"/>
      <c r="C66" s="115"/>
      <c r="D66" s="115"/>
      <c r="E66" s="115"/>
      <c r="F66" s="115"/>
      <c r="G66" s="115"/>
      <c r="H66" s="115"/>
      <c r="I66" s="115"/>
      <c r="J66" s="115"/>
      <c r="K66" s="115"/>
      <c r="L66" s="115"/>
      <c r="M66" s="115"/>
      <c r="N66" s="115"/>
      <c r="O66" s="115"/>
      <c r="P66" s="115"/>
      <c r="Q66" s="115"/>
    </row>
    <row r="67" spans="1:17" ht="19.5">
      <c r="A67" s="115"/>
      <c r="B67" s="115"/>
      <c r="C67" s="115"/>
      <c r="D67" s="115"/>
      <c r="E67" s="115"/>
      <c r="F67" s="115"/>
      <c r="G67" s="115"/>
      <c r="H67" s="115"/>
      <c r="I67" s="115"/>
      <c r="J67" s="115"/>
      <c r="K67" s="115"/>
      <c r="L67" s="115"/>
      <c r="M67" s="115"/>
      <c r="N67" s="115"/>
      <c r="O67" s="115"/>
      <c r="P67" s="115"/>
      <c r="Q67" s="115"/>
    </row>
    <row r="68" spans="1:17" ht="19.5">
      <c r="A68" s="115"/>
      <c r="B68" s="115"/>
      <c r="C68" s="115"/>
      <c r="D68" s="115"/>
      <c r="E68" s="115"/>
      <c r="F68" s="115"/>
      <c r="G68" s="115"/>
      <c r="H68" s="115"/>
      <c r="I68" s="115"/>
      <c r="J68" s="115"/>
      <c r="K68" s="115"/>
      <c r="L68" s="115"/>
      <c r="M68" s="115"/>
      <c r="N68" s="115"/>
      <c r="O68" s="115"/>
      <c r="P68" s="115"/>
      <c r="Q68" s="115"/>
    </row>
    <row r="69" spans="1:17" ht="19.5">
      <c r="A69" s="115"/>
      <c r="B69" s="115"/>
      <c r="C69" s="115"/>
      <c r="D69" s="115"/>
      <c r="E69" s="115"/>
      <c r="F69" s="115"/>
      <c r="G69" s="115"/>
      <c r="H69" s="115"/>
      <c r="I69" s="115"/>
      <c r="J69" s="115"/>
      <c r="K69" s="115"/>
      <c r="L69" s="115"/>
      <c r="M69" s="115"/>
      <c r="N69" s="115"/>
      <c r="O69" s="115"/>
      <c r="P69" s="115"/>
      <c r="Q69" s="115"/>
    </row>
    <row r="70" spans="1:17" ht="19.5">
      <c r="A70" s="115"/>
      <c r="B70" s="115"/>
      <c r="C70" s="115"/>
      <c r="D70" s="115"/>
      <c r="E70" s="115"/>
      <c r="F70" s="115"/>
      <c r="G70" s="115"/>
      <c r="H70" s="115"/>
      <c r="I70" s="115"/>
      <c r="J70" s="115"/>
      <c r="K70" s="115"/>
      <c r="L70" s="115"/>
      <c r="M70" s="115"/>
      <c r="N70" s="115"/>
      <c r="O70" s="115"/>
      <c r="P70" s="115"/>
      <c r="Q70" s="115"/>
    </row>
    <row r="71" spans="1:17" ht="19.5">
      <c r="A71" s="115"/>
      <c r="B71" s="115"/>
      <c r="C71" s="115"/>
      <c r="D71" s="115"/>
      <c r="E71" s="115"/>
      <c r="F71" s="115"/>
      <c r="G71" s="115"/>
      <c r="H71" s="115"/>
      <c r="I71" s="115"/>
      <c r="J71" s="115"/>
      <c r="K71" s="115"/>
      <c r="L71" s="115"/>
      <c r="M71" s="115"/>
      <c r="N71" s="115"/>
      <c r="O71" s="115"/>
      <c r="P71" s="115"/>
      <c r="Q71" s="115"/>
    </row>
    <row r="72" spans="1:17" ht="19.5">
      <c r="A72" s="115"/>
      <c r="B72" s="115"/>
      <c r="C72" s="115"/>
      <c r="D72" s="115"/>
      <c r="E72" s="115"/>
      <c r="F72" s="115"/>
      <c r="G72" s="115"/>
      <c r="H72" s="115"/>
      <c r="I72" s="115"/>
      <c r="J72" s="115"/>
      <c r="K72" s="115"/>
      <c r="L72" s="115"/>
      <c r="M72" s="115"/>
      <c r="N72" s="115"/>
      <c r="O72" s="115"/>
      <c r="P72" s="115"/>
      <c r="Q72" s="115"/>
    </row>
    <row r="73" spans="1:17" ht="19.5">
      <c r="A73" s="115"/>
      <c r="B73" s="115"/>
      <c r="C73" s="115"/>
      <c r="D73" s="115"/>
      <c r="E73" s="115"/>
      <c r="F73" s="115"/>
      <c r="G73" s="115"/>
      <c r="H73" s="115"/>
      <c r="I73" s="115"/>
      <c r="J73" s="115"/>
      <c r="K73" s="115"/>
      <c r="L73" s="115"/>
      <c r="M73" s="115"/>
      <c r="N73" s="115"/>
      <c r="O73" s="115"/>
      <c r="P73" s="115"/>
      <c r="Q73" s="115"/>
    </row>
    <row r="74" spans="1:17" ht="19.5">
      <c r="A74" s="115"/>
      <c r="B74" s="115"/>
      <c r="C74" s="115"/>
      <c r="D74" s="115"/>
      <c r="E74" s="115"/>
      <c r="F74" s="115"/>
      <c r="G74" s="115"/>
      <c r="H74" s="115"/>
      <c r="I74" s="115"/>
      <c r="J74" s="115"/>
      <c r="K74" s="115"/>
      <c r="L74" s="115"/>
      <c r="M74" s="115"/>
      <c r="N74" s="115"/>
      <c r="O74" s="115"/>
      <c r="P74" s="115"/>
      <c r="Q74" s="115"/>
    </row>
    <row r="75" spans="1:17" ht="19.5">
      <c r="A75" s="115"/>
      <c r="B75" s="115"/>
      <c r="C75" s="115"/>
      <c r="D75" s="115"/>
      <c r="E75" s="115"/>
      <c r="F75" s="115"/>
      <c r="G75" s="115"/>
      <c r="H75" s="115"/>
      <c r="I75" s="115"/>
      <c r="J75" s="115"/>
      <c r="K75" s="115"/>
      <c r="L75" s="115"/>
      <c r="M75" s="115"/>
      <c r="N75" s="115"/>
      <c r="O75" s="115"/>
      <c r="P75" s="115"/>
      <c r="Q75" s="115"/>
    </row>
    <row r="76" spans="1:17" ht="19.5">
      <c r="A76" s="115"/>
      <c r="B76" s="115"/>
      <c r="C76" s="115"/>
      <c r="D76" s="115"/>
      <c r="E76" s="115"/>
      <c r="F76" s="115"/>
      <c r="G76" s="115"/>
      <c r="H76" s="115"/>
      <c r="I76" s="115"/>
      <c r="J76" s="115"/>
      <c r="K76" s="115"/>
      <c r="L76" s="115"/>
      <c r="M76" s="115"/>
      <c r="N76" s="115"/>
      <c r="O76" s="115"/>
      <c r="P76" s="115"/>
      <c r="Q76" s="115"/>
    </row>
    <row r="77" spans="1:17" ht="19.5">
      <c r="A77" s="115"/>
      <c r="B77" s="115"/>
      <c r="C77" s="115"/>
      <c r="D77" s="115"/>
      <c r="E77" s="115"/>
      <c r="F77" s="115"/>
      <c r="G77" s="115"/>
      <c r="H77" s="115"/>
      <c r="I77" s="115"/>
      <c r="J77" s="115"/>
      <c r="K77" s="115"/>
      <c r="L77" s="115"/>
      <c r="M77" s="115"/>
      <c r="N77" s="115"/>
      <c r="O77" s="115"/>
      <c r="P77" s="115"/>
      <c r="Q77" s="115"/>
    </row>
    <row r="78" spans="1:17" ht="19.5">
      <c r="A78" s="115"/>
      <c r="B78" s="115"/>
      <c r="C78" s="115"/>
      <c r="D78" s="115"/>
      <c r="E78" s="115"/>
      <c r="F78" s="115"/>
      <c r="G78" s="115"/>
      <c r="H78" s="115"/>
      <c r="I78" s="115"/>
      <c r="J78" s="115"/>
      <c r="K78" s="115"/>
      <c r="L78" s="115"/>
      <c r="M78" s="115"/>
      <c r="N78" s="115"/>
      <c r="O78" s="115"/>
      <c r="P78" s="115"/>
      <c r="Q78" s="115"/>
    </row>
    <row r="79" spans="1:17" ht="19.5">
      <c r="A79" s="115"/>
      <c r="B79" s="115"/>
      <c r="C79" s="115"/>
      <c r="D79" s="115"/>
      <c r="E79" s="115"/>
      <c r="F79" s="115"/>
      <c r="G79" s="115"/>
      <c r="H79" s="115"/>
      <c r="I79" s="115"/>
      <c r="J79" s="115"/>
      <c r="K79" s="115"/>
      <c r="L79" s="115"/>
      <c r="M79" s="115"/>
      <c r="N79" s="115"/>
      <c r="O79" s="115"/>
      <c r="P79" s="115"/>
      <c r="Q79" s="115"/>
    </row>
    <row r="80" spans="1:17" ht="19.5">
      <c r="A80" s="115"/>
      <c r="B80" s="115"/>
      <c r="C80" s="115"/>
      <c r="D80" s="115"/>
      <c r="E80" s="115"/>
      <c r="F80" s="115"/>
      <c r="G80" s="115"/>
      <c r="H80" s="115"/>
      <c r="I80" s="115"/>
      <c r="J80" s="115"/>
      <c r="K80" s="115"/>
      <c r="L80" s="115"/>
      <c r="M80" s="115"/>
      <c r="N80" s="115"/>
      <c r="O80" s="115"/>
      <c r="P80" s="115"/>
      <c r="Q80" s="115"/>
    </row>
    <row r="81" spans="1:17" ht="19.5">
      <c r="A81" s="115"/>
      <c r="B81" s="115"/>
      <c r="C81" s="115"/>
      <c r="D81" s="115"/>
      <c r="E81" s="115"/>
      <c r="F81" s="115"/>
      <c r="G81" s="115"/>
      <c r="H81" s="115"/>
      <c r="I81" s="115"/>
      <c r="J81" s="115"/>
      <c r="K81" s="115"/>
      <c r="L81" s="115"/>
      <c r="M81" s="115"/>
      <c r="N81" s="115"/>
      <c r="O81" s="115"/>
      <c r="P81" s="115"/>
      <c r="Q81" s="115"/>
    </row>
    <row r="82" spans="1:17" ht="19.5">
      <c r="A82" s="115"/>
      <c r="B82" s="115"/>
      <c r="C82" s="115"/>
      <c r="D82" s="115"/>
      <c r="E82" s="115"/>
      <c r="F82" s="115"/>
      <c r="G82" s="115"/>
      <c r="H82" s="115"/>
      <c r="I82" s="115"/>
      <c r="J82" s="115"/>
      <c r="K82" s="115"/>
      <c r="L82" s="115"/>
      <c r="M82" s="115"/>
      <c r="N82" s="115"/>
      <c r="O82" s="115"/>
      <c r="P82" s="115"/>
      <c r="Q82" s="115"/>
    </row>
    <row r="83" spans="1:17" ht="19.5">
      <c r="A83" s="115"/>
      <c r="B83" s="115"/>
      <c r="C83" s="115"/>
      <c r="D83" s="115"/>
      <c r="E83" s="115"/>
      <c r="F83" s="115"/>
      <c r="G83" s="115"/>
      <c r="H83" s="115"/>
      <c r="I83" s="115"/>
      <c r="J83" s="115"/>
      <c r="K83" s="115"/>
      <c r="L83" s="115"/>
      <c r="M83" s="115"/>
      <c r="N83" s="115"/>
      <c r="O83" s="115"/>
      <c r="P83" s="115"/>
      <c r="Q83" s="115"/>
    </row>
    <row r="84" spans="1:17" ht="19.5">
      <c r="A84" s="115"/>
      <c r="B84" s="115"/>
      <c r="C84" s="115"/>
      <c r="D84" s="115"/>
      <c r="E84" s="115"/>
      <c r="F84" s="115"/>
      <c r="G84" s="115"/>
      <c r="H84" s="115"/>
      <c r="I84" s="115"/>
      <c r="J84" s="115"/>
      <c r="K84" s="115"/>
      <c r="L84" s="115"/>
      <c r="M84" s="115"/>
      <c r="N84" s="115"/>
      <c r="O84" s="115"/>
      <c r="P84" s="115"/>
      <c r="Q84" s="115"/>
    </row>
    <row r="85" spans="1:17" ht="19.5">
      <c r="A85" s="115"/>
      <c r="B85" s="115"/>
      <c r="C85" s="115"/>
      <c r="D85" s="115"/>
      <c r="E85" s="115"/>
      <c r="F85" s="115"/>
      <c r="G85" s="115"/>
      <c r="H85" s="115"/>
      <c r="I85" s="115"/>
      <c r="J85" s="115"/>
      <c r="K85" s="115"/>
      <c r="L85" s="115"/>
      <c r="M85" s="115"/>
      <c r="N85" s="115"/>
      <c r="O85" s="115"/>
      <c r="P85" s="115"/>
      <c r="Q85" s="115"/>
    </row>
    <row r="86" spans="1:17" ht="19.5">
      <c r="A86" s="115"/>
      <c r="B86" s="115"/>
      <c r="C86" s="115"/>
      <c r="D86" s="115"/>
      <c r="E86" s="115"/>
      <c r="F86" s="115"/>
      <c r="G86" s="115"/>
      <c r="H86" s="115"/>
      <c r="I86" s="115"/>
      <c r="J86" s="115"/>
      <c r="K86" s="115"/>
      <c r="L86" s="115"/>
      <c r="M86" s="115"/>
      <c r="N86" s="115"/>
      <c r="O86" s="115"/>
      <c r="P86" s="115"/>
      <c r="Q86" s="115"/>
    </row>
    <row r="87" spans="1:17" ht="19.5">
      <c r="A87" s="115"/>
      <c r="B87" s="115"/>
      <c r="C87" s="115"/>
      <c r="D87" s="115"/>
      <c r="E87" s="115"/>
      <c r="F87" s="115"/>
      <c r="G87" s="115"/>
      <c r="H87" s="115"/>
      <c r="I87" s="115"/>
      <c r="J87" s="115"/>
      <c r="K87" s="115"/>
      <c r="L87" s="115"/>
      <c r="M87" s="115"/>
      <c r="N87" s="115"/>
      <c r="O87" s="115"/>
      <c r="P87" s="115"/>
      <c r="Q87" s="115"/>
    </row>
    <row r="88" spans="1:17" ht="19.5">
      <c r="A88" s="115"/>
      <c r="B88" s="115"/>
      <c r="C88" s="115"/>
      <c r="D88" s="115"/>
      <c r="E88" s="115"/>
      <c r="F88" s="115"/>
      <c r="G88" s="115"/>
      <c r="H88" s="115"/>
      <c r="I88" s="115"/>
      <c r="J88" s="115"/>
      <c r="K88" s="115"/>
      <c r="L88" s="115"/>
      <c r="M88" s="115"/>
      <c r="N88" s="115"/>
      <c r="O88" s="115"/>
      <c r="P88" s="115"/>
      <c r="Q88" s="115"/>
    </row>
    <row r="89" spans="1:17" ht="19.5">
      <c r="A89" s="115"/>
      <c r="B89" s="115"/>
      <c r="C89" s="115"/>
      <c r="D89" s="115"/>
      <c r="E89" s="115"/>
      <c r="F89" s="115"/>
      <c r="G89" s="115"/>
      <c r="H89" s="115"/>
      <c r="I89" s="115"/>
      <c r="J89" s="115"/>
      <c r="K89" s="115"/>
      <c r="L89" s="115"/>
      <c r="M89" s="115"/>
      <c r="N89" s="115"/>
      <c r="O89" s="115"/>
      <c r="P89" s="115"/>
      <c r="Q89" s="115"/>
    </row>
    <row r="90" spans="1:17" ht="19.5">
      <c r="A90" s="115"/>
      <c r="B90" s="115"/>
      <c r="C90" s="115"/>
      <c r="D90" s="115"/>
      <c r="E90" s="115"/>
      <c r="F90" s="115"/>
      <c r="G90" s="115"/>
      <c r="H90" s="115"/>
      <c r="I90" s="115"/>
      <c r="J90" s="115"/>
      <c r="K90" s="115"/>
      <c r="L90" s="115"/>
      <c r="M90" s="115"/>
      <c r="N90" s="115"/>
      <c r="O90" s="115"/>
      <c r="P90" s="115"/>
      <c r="Q90" s="115"/>
    </row>
    <row r="91" spans="1:17" ht="19.5">
      <c r="A91" s="115"/>
      <c r="B91" s="115"/>
      <c r="C91" s="115"/>
      <c r="D91" s="115"/>
      <c r="E91" s="115"/>
      <c r="F91" s="115"/>
      <c r="G91" s="115"/>
      <c r="H91" s="115"/>
      <c r="I91" s="115"/>
      <c r="J91" s="115"/>
      <c r="K91" s="115"/>
      <c r="L91" s="115"/>
      <c r="M91" s="115"/>
      <c r="N91" s="115"/>
      <c r="O91" s="115"/>
      <c r="P91" s="115"/>
      <c r="Q91" s="115"/>
    </row>
    <row r="92" spans="1:17" ht="19.5">
      <c r="A92" s="115"/>
      <c r="B92" s="115"/>
      <c r="C92" s="115"/>
      <c r="D92" s="115"/>
      <c r="E92" s="115"/>
      <c r="F92" s="115"/>
      <c r="G92" s="115"/>
      <c r="H92" s="115"/>
      <c r="I92" s="115"/>
      <c r="J92" s="115"/>
      <c r="K92" s="115"/>
      <c r="L92" s="115"/>
      <c r="M92" s="115"/>
      <c r="N92" s="115"/>
      <c r="O92" s="115"/>
      <c r="P92" s="115"/>
      <c r="Q92" s="115"/>
    </row>
    <row r="93" spans="1:17" ht="19.5">
      <c r="A93" s="115"/>
      <c r="B93" s="115"/>
      <c r="C93" s="115"/>
      <c r="D93" s="115"/>
      <c r="E93" s="115"/>
      <c r="F93" s="115"/>
      <c r="G93" s="115"/>
      <c r="H93" s="115"/>
      <c r="I93" s="115"/>
      <c r="J93" s="115"/>
      <c r="K93" s="115"/>
      <c r="L93" s="115"/>
      <c r="M93" s="115"/>
      <c r="N93" s="115"/>
      <c r="O93" s="115"/>
      <c r="P93" s="115"/>
      <c r="Q93" s="115"/>
    </row>
    <row r="94" spans="1:17" ht="19.5">
      <c r="A94" s="115"/>
      <c r="B94" s="115"/>
      <c r="C94" s="115"/>
      <c r="D94" s="115"/>
      <c r="E94" s="115"/>
      <c r="F94" s="115"/>
      <c r="G94" s="115"/>
      <c r="H94" s="115"/>
      <c r="I94" s="115"/>
      <c r="J94" s="115"/>
      <c r="K94" s="115"/>
      <c r="L94" s="115"/>
      <c r="M94" s="115"/>
      <c r="N94" s="115"/>
      <c r="O94" s="115"/>
      <c r="P94" s="115"/>
      <c r="Q94" s="115"/>
    </row>
    <row r="95" spans="1:17" ht="19.5">
      <c r="A95" s="115"/>
      <c r="B95" s="115"/>
      <c r="C95" s="115"/>
      <c r="D95" s="115"/>
      <c r="E95" s="115"/>
      <c r="F95" s="115"/>
      <c r="G95" s="115"/>
      <c r="H95" s="115"/>
      <c r="I95" s="115"/>
      <c r="J95" s="115"/>
      <c r="K95" s="115"/>
      <c r="L95" s="115"/>
      <c r="M95" s="115"/>
      <c r="N95" s="115"/>
      <c r="O95" s="115"/>
      <c r="P95" s="115"/>
      <c r="Q95" s="115"/>
    </row>
    <row r="96" spans="1:17" ht="19.5">
      <c r="A96" s="115"/>
      <c r="B96" s="115"/>
      <c r="C96" s="115"/>
      <c r="D96" s="115"/>
      <c r="E96" s="115"/>
      <c r="F96" s="115"/>
      <c r="G96" s="115"/>
      <c r="H96" s="115"/>
      <c r="I96" s="115"/>
      <c r="J96" s="115"/>
      <c r="K96" s="115"/>
      <c r="L96" s="115"/>
      <c r="M96" s="115"/>
      <c r="N96" s="115"/>
      <c r="O96" s="115"/>
      <c r="P96" s="115"/>
      <c r="Q96" s="115"/>
    </row>
    <row r="97" spans="1:17" ht="19.5">
      <c r="A97" s="115"/>
      <c r="B97" s="115"/>
      <c r="C97" s="115"/>
      <c r="D97" s="115"/>
      <c r="E97" s="115"/>
      <c r="F97" s="115"/>
      <c r="G97" s="115"/>
      <c r="H97" s="115"/>
      <c r="I97" s="115"/>
      <c r="J97" s="115"/>
      <c r="K97" s="115"/>
      <c r="L97" s="115"/>
      <c r="M97" s="115"/>
      <c r="N97" s="115"/>
      <c r="O97" s="115"/>
      <c r="P97" s="115"/>
      <c r="Q97" s="115"/>
    </row>
    <row r="98" spans="1:17" ht="19.5">
      <c r="A98" s="115"/>
      <c r="B98" s="115"/>
      <c r="C98" s="115"/>
      <c r="D98" s="115"/>
      <c r="E98" s="115"/>
      <c r="F98" s="115"/>
      <c r="G98" s="115"/>
      <c r="H98" s="115"/>
      <c r="I98" s="115"/>
      <c r="J98" s="115"/>
      <c r="K98" s="115"/>
      <c r="L98" s="115"/>
      <c r="M98" s="115"/>
      <c r="N98" s="115"/>
      <c r="O98" s="115"/>
      <c r="P98" s="115"/>
      <c r="Q98" s="115"/>
    </row>
    <row r="99" spans="1:17" ht="19.5">
      <c r="A99" s="115"/>
      <c r="B99" s="115"/>
      <c r="C99" s="115"/>
      <c r="D99" s="115"/>
      <c r="E99" s="115"/>
      <c r="F99" s="115"/>
      <c r="G99" s="115"/>
      <c r="H99" s="115"/>
      <c r="I99" s="115"/>
      <c r="J99" s="115"/>
      <c r="K99" s="115"/>
      <c r="L99" s="115"/>
      <c r="M99" s="115"/>
      <c r="N99" s="115"/>
      <c r="O99" s="115"/>
      <c r="P99" s="115"/>
      <c r="Q99" s="115"/>
    </row>
    <row r="100" spans="1:17" ht="19.5">
      <c r="A100" s="115"/>
      <c r="B100" s="115"/>
      <c r="C100" s="115"/>
      <c r="D100" s="115"/>
      <c r="E100" s="115"/>
      <c r="F100" s="115"/>
      <c r="G100" s="115"/>
      <c r="H100" s="115"/>
      <c r="I100" s="115"/>
      <c r="J100" s="115"/>
      <c r="K100" s="115"/>
      <c r="L100" s="115"/>
      <c r="M100" s="115"/>
      <c r="N100" s="115"/>
      <c r="O100" s="115"/>
      <c r="P100" s="115"/>
      <c r="Q100" s="115"/>
    </row>
    <row r="101" spans="1:17" ht="19.5">
      <c r="A101" s="115"/>
      <c r="B101" s="115"/>
      <c r="C101" s="115"/>
      <c r="D101" s="115"/>
      <c r="E101" s="115"/>
      <c r="F101" s="115"/>
      <c r="G101" s="115"/>
      <c r="H101" s="115"/>
      <c r="I101" s="115"/>
      <c r="J101" s="115"/>
      <c r="K101" s="115"/>
      <c r="L101" s="115"/>
      <c r="M101" s="115"/>
      <c r="N101" s="115"/>
      <c r="O101" s="115"/>
      <c r="P101" s="115"/>
      <c r="Q101" s="115"/>
    </row>
    <row r="102" spans="1:17" ht="19.5">
      <c r="A102" s="115"/>
      <c r="B102" s="115"/>
      <c r="C102" s="115"/>
      <c r="D102" s="115"/>
      <c r="E102" s="115"/>
      <c r="F102" s="115"/>
      <c r="G102" s="115"/>
      <c r="H102" s="115"/>
      <c r="I102" s="115"/>
      <c r="J102" s="115"/>
      <c r="K102" s="115"/>
      <c r="L102" s="115"/>
      <c r="M102" s="115"/>
      <c r="N102" s="115"/>
      <c r="O102" s="115"/>
      <c r="P102" s="115"/>
      <c r="Q102" s="115"/>
    </row>
    <row r="103" spans="1:17" ht="19.5">
      <c r="A103" s="115"/>
      <c r="B103" s="115"/>
      <c r="C103" s="115"/>
      <c r="D103" s="115"/>
      <c r="E103" s="115"/>
      <c r="F103" s="115"/>
      <c r="G103" s="115"/>
      <c r="H103" s="115"/>
      <c r="I103" s="115"/>
      <c r="J103" s="115"/>
      <c r="K103" s="115"/>
      <c r="L103" s="115"/>
      <c r="M103" s="115"/>
      <c r="N103" s="115"/>
      <c r="O103" s="115"/>
      <c r="P103" s="115"/>
      <c r="Q103" s="115"/>
    </row>
    <row r="104" spans="1:17" ht="19.5">
      <c r="A104" s="115"/>
      <c r="B104" s="115"/>
      <c r="C104" s="115"/>
      <c r="D104" s="115"/>
      <c r="E104" s="115"/>
      <c r="F104" s="115"/>
      <c r="G104" s="115"/>
      <c r="H104" s="115"/>
      <c r="I104" s="115"/>
      <c r="J104" s="115"/>
      <c r="K104" s="115"/>
      <c r="L104" s="115"/>
      <c r="M104" s="115"/>
      <c r="N104" s="115"/>
      <c r="O104" s="115"/>
      <c r="P104" s="115"/>
      <c r="Q104" s="115"/>
    </row>
    <row r="105" spans="1:17" ht="19.5">
      <c r="A105" s="115"/>
      <c r="B105" s="115"/>
      <c r="C105" s="115"/>
      <c r="D105" s="115"/>
      <c r="E105" s="115"/>
      <c r="F105" s="115"/>
      <c r="G105" s="115"/>
      <c r="H105" s="115"/>
      <c r="I105" s="115"/>
      <c r="J105" s="115"/>
      <c r="K105" s="115"/>
      <c r="L105" s="115"/>
      <c r="M105" s="115"/>
      <c r="N105" s="115"/>
      <c r="O105" s="115"/>
      <c r="P105" s="115"/>
      <c r="Q105" s="115"/>
    </row>
    <row r="106" spans="1:17" ht="19.5">
      <c r="A106" s="115"/>
      <c r="B106" s="115"/>
      <c r="C106" s="115"/>
      <c r="D106" s="115"/>
      <c r="E106" s="115"/>
      <c r="F106" s="115"/>
      <c r="G106" s="115"/>
      <c r="H106" s="115"/>
      <c r="I106" s="115"/>
      <c r="J106" s="115"/>
      <c r="K106" s="115"/>
      <c r="L106" s="115"/>
      <c r="M106" s="115"/>
      <c r="N106" s="115"/>
      <c r="O106" s="115"/>
      <c r="P106" s="115"/>
      <c r="Q106" s="115"/>
    </row>
    <row r="107" spans="1:17" ht="19.5">
      <c r="A107" s="115"/>
      <c r="B107" s="115"/>
      <c r="C107" s="115"/>
      <c r="D107" s="115"/>
      <c r="E107" s="115"/>
      <c r="F107" s="115"/>
      <c r="G107" s="115"/>
      <c r="H107" s="115"/>
      <c r="I107" s="115"/>
      <c r="J107" s="115"/>
      <c r="K107" s="115"/>
      <c r="L107" s="115"/>
      <c r="M107" s="115"/>
      <c r="N107" s="115"/>
      <c r="O107" s="115"/>
      <c r="P107" s="115"/>
      <c r="Q107" s="115"/>
    </row>
    <row r="108" spans="1:17" ht="19.5">
      <c r="A108" s="115"/>
      <c r="B108" s="115"/>
      <c r="C108" s="115"/>
      <c r="D108" s="115"/>
      <c r="E108" s="115"/>
      <c r="F108" s="115"/>
      <c r="G108" s="115"/>
      <c r="H108" s="115"/>
      <c r="I108" s="115"/>
      <c r="J108" s="115"/>
      <c r="K108" s="115"/>
      <c r="L108" s="115"/>
      <c r="M108" s="115"/>
      <c r="N108" s="115"/>
      <c r="O108" s="115"/>
      <c r="P108" s="115"/>
      <c r="Q108" s="115"/>
    </row>
    <row r="109" spans="1:17" ht="19.5">
      <c r="A109" s="115"/>
      <c r="B109" s="115"/>
      <c r="C109" s="115"/>
      <c r="D109" s="115"/>
      <c r="E109" s="115"/>
      <c r="F109" s="115"/>
      <c r="G109" s="115"/>
      <c r="H109" s="115"/>
      <c r="I109" s="115"/>
      <c r="J109" s="115"/>
      <c r="K109" s="115"/>
      <c r="L109" s="115"/>
      <c r="M109" s="115"/>
      <c r="N109" s="115"/>
      <c r="O109" s="115"/>
      <c r="P109" s="115"/>
      <c r="Q109" s="115"/>
    </row>
    <row r="110" spans="1:17" ht="19.5">
      <c r="A110" s="115"/>
      <c r="B110" s="115"/>
      <c r="C110" s="115"/>
      <c r="D110" s="115"/>
      <c r="E110" s="115"/>
      <c r="F110" s="115"/>
      <c r="G110" s="115"/>
      <c r="H110" s="115"/>
      <c r="I110" s="115"/>
      <c r="J110" s="115"/>
      <c r="K110" s="115"/>
      <c r="L110" s="115"/>
      <c r="M110" s="115"/>
      <c r="N110" s="115"/>
      <c r="O110" s="115"/>
      <c r="P110" s="115"/>
      <c r="Q110" s="115"/>
    </row>
    <row r="111" spans="1:17" ht="19.5">
      <c r="A111" s="115"/>
      <c r="B111" s="115"/>
      <c r="C111" s="115"/>
      <c r="D111" s="115"/>
      <c r="E111" s="115"/>
      <c r="F111" s="115"/>
      <c r="G111" s="115"/>
      <c r="H111" s="115"/>
      <c r="I111" s="115"/>
      <c r="J111" s="115"/>
      <c r="K111" s="115"/>
      <c r="L111" s="115"/>
      <c r="M111" s="115"/>
      <c r="N111" s="115"/>
      <c r="O111" s="115"/>
      <c r="P111" s="115"/>
      <c r="Q111" s="115"/>
    </row>
    <row r="112" spans="1:17" ht="19.5">
      <c r="A112" s="115"/>
      <c r="B112" s="115"/>
      <c r="C112" s="115"/>
      <c r="D112" s="115"/>
      <c r="E112" s="115"/>
      <c r="F112" s="115"/>
      <c r="G112" s="115"/>
      <c r="H112" s="115"/>
      <c r="I112" s="115"/>
      <c r="J112" s="115"/>
      <c r="K112" s="115"/>
      <c r="L112" s="115"/>
      <c r="M112" s="115"/>
      <c r="N112" s="115"/>
      <c r="O112" s="115"/>
      <c r="P112" s="115"/>
      <c r="Q112" s="115"/>
    </row>
    <row r="113" spans="1:17" ht="19.5">
      <c r="A113" s="115"/>
      <c r="B113" s="115"/>
      <c r="C113" s="115"/>
      <c r="D113" s="115"/>
      <c r="E113" s="115"/>
      <c r="F113" s="115"/>
      <c r="G113" s="115"/>
      <c r="H113" s="115"/>
      <c r="I113" s="115"/>
      <c r="J113" s="115"/>
      <c r="K113" s="115"/>
      <c r="L113" s="115"/>
      <c r="M113" s="115"/>
      <c r="N113" s="115"/>
      <c r="O113" s="115"/>
      <c r="P113" s="115"/>
      <c r="Q113" s="115"/>
    </row>
    <row r="114" spans="1:17" ht="19.5">
      <c r="A114" s="115"/>
      <c r="B114" s="115"/>
      <c r="C114" s="115"/>
      <c r="D114" s="115"/>
      <c r="E114" s="115"/>
      <c r="F114" s="115"/>
      <c r="G114" s="115"/>
      <c r="H114" s="115"/>
      <c r="I114" s="115"/>
      <c r="J114" s="115"/>
      <c r="K114" s="115"/>
      <c r="L114" s="115"/>
      <c r="M114" s="115"/>
      <c r="N114" s="115"/>
      <c r="O114" s="115"/>
      <c r="P114" s="115"/>
      <c r="Q114" s="115"/>
    </row>
    <row r="115" spans="1:17" ht="19.5">
      <c r="A115" s="115"/>
      <c r="B115" s="115"/>
      <c r="C115" s="115"/>
      <c r="D115" s="115"/>
      <c r="E115" s="115"/>
      <c r="F115" s="115"/>
      <c r="G115" s="115"/>
      <c r="H115" s="115"/>
      <c r="I115" s="115"/>
      <c r="J115" s="115"/>
      <c r="K115" s="115"/>
      <c r="L115" s="115"/>
      <c r="M115" s="115"/>
      <c r="N115" s="115"/>
      <c r="O115" s="115"/>
      <c r="P115" s="115"/>
      <c r="Q115" s="115"/>
    </row>
    <row r="116" spans="1:17" ht="19.5">
      <c r="A116" s="115"/>
      <c r="B116" s="115"/>
      <c r="C116" s="115"/>
      <c r="D116" s="115"/>
      <c r="E116" s="115"/>
      <c r="F116" s="115"/>
      <c r="G116" s="115"/>
      <c r="H116" s="115"/>
      <c r="I116" s="115"/>
      <c r="J116" s="115"/>
      <c r="K116" s="115"/>
      <c r="L116" s="115"/>
      <c r="M116" s="115"/>
      <c r="N116" s="115"/>
      <c r="O116" s="115"/>
      <c r="P116" s="115"/>
      <c r="Q116" s="115"/>
    </row>
    <row r="117" spans="1:17" ht="19.5">
      <c r="A117" s="115"/>
      <c r="B117" s="115"/>
      <c r="C117" s="115"/>
      <c r="D117" s="115"/>
      <c r="E117" s="115"/>
      <c r="F117" s="115"/>
      <c r="G117" s="115"/>
      <c r="H117" s="115"/>
      <c r="I117" s="115"/>
      <c r="J117" s="115"/>
      <c r="K117" s="115"/>
      <c r="L117" s="115"/>
      <c r="M117" s="115"/>
      <c r="N117" s="115"/>
      <c r="O117" s="115"/>
      <c r="P117" s="115"/>
      <c r="Q117" s="115"/>
    </row>
    <row r="118" spans="1:17" ht="19.5">
      <c r="A118" s="115"/>
      <c r="B118" s="115"/>
      <c r="C118" s="115"/>
      <c r="D118" s="115"/>
      <c r="E118" s="115"/>
      <c r="F118" s="115"/>
      <c r="G118" s="115"/>
      <c r="H118" s="115"/>
      <c r="I118" s="115"/>
      <c r="J118" s="115"/>
      <c r="K118" s="115"/>
      <c r="L118" s="115"/>
      <c r="M118" s="115"/>
      <c r="N118" s="115"/>
      <c r="O118" s="115"/>
      <c r="P118" s="115"/>
      <c r="Q118" s="115"/>
    </row>
    <row r="119" spans="1:17" ht="19.5">
      <c r="A119" s="115"/>
      <c r="B119" s="115"/>
      <c r="C119" s="115"/>
      <c r="D119" s="115"/>
      <c r="E119" s="115"/>
      <c r="F119" s="115"/>
      <c r="G119" s="115"/>
      <c r="H119" s="115"/>
      <c r="I119" s="115"/>
      <c r="J119" s="115"/>
      <c r="K119" s="115"/>
      <c r="L119" s="115"/>
      <c r="M119" s="115"/>
      <c r="N119" s="115"/>
      <c r="O119" s="115"/>
      <c r="P119" s="115"/>
      <c r="Q119" s="115"/>
    </row>
    <row r="120" spans="1:17" ht="19.5">
      <c r="A120" s="115"/>
      <c r="B120" s="115"/>
      <c r="C120" s="115"/>
      <c r="D120" s="115"/>
      <c r="E120" s="115"/>
      <c r="F120" s="115"/>
      <c r="G120" s="115"/>
      <c r="H120" s="115"/>
      <c r="I120" s="115"/>
      <c r="J120" s="115"/>
      <c r="K120" s="115"/>
      <c r="L120" s="115"/>
      <c r="M120" s="115"/>
      <c r="N120" s="115"/>
      <c r="O120" s="115"/>
      <c r="P120" s="115"/>
      <c r="Q120" s="115"/>
    </row>
    <row r="121" spans="1:17" ht="19.5">
      <c r="A121" s="115"/>
      <c r="B121" s="115"/>
      <c r="C121" s="115"/>
      <c r="D121" s="115"/>
      <c r="E121" s="115"/>
      <c r="F121" s="115"/>
      <c r="G121" s="115"/>
      <c r="H121" s="115"/>
      <c r="I121" s="115"/>
      <c r="J121" s="115"/>
      <c r="K121" s="115"/>
      <c r="L121" s="115"/>
      <c r="M121" s="115"/>
      <c r="N121" s="115"/>
      <c r="O121" s="115"/>
      <c r="P121" s="115"/>
      <c r="Q121" s="115"/>
    </row>
    <row r="122" spans="1:17" ht="19.5">
      <c r="A122" s="115"/>
      <c r="B122" s="115"/>
      <c r="C122" s="115"/>
      <c r="D122" s="115"/>
      <c r="E122" s="115"/>
      <c r="F122" s="115"/>
      <c r="G122" s="115"/>
      <c r="H122" s="115"/>
      <c r="I122" s="115"/>
      <c r="J122" s="115"/>
      <c r="K122" s="115"/>
      <c r="L122" s="115"/>
      <c r="M122" s="115"/>
      <c r="N122" s="115"/>
      <c r="O122" s="115"/>
      <c r="P122" s="115"/>
      <c r="Q122" s="115"/>
    </row>
    <row r="123" spans="1:17" ht="19.5">
      <c r="A123" s="115"/>
      <c r="B123" s="115"/>
      <c r="C123" s="115"/>
      <c r="D123" s="115"/>
      <c r="E123" s="115"/>
      <c r="F123" s="115"/>
      <c r="G123" s="115"/>
      <c r="H123" s="115"/>
      <c r="I123" s="115"/>
      <c r="J123" s="115"/>
      <c r="K123" s="115"/>
      <c r="L123" s="115"/>
      <c r="M123" s="115"/>
      <c r="N123" s="115"/>
      <c r="O123" s="115"/>
      <c r="P123" s="115"/>
      <c r="Q123" s="115"/>
    </row>
    <row r="124" spans="1:17" ht="19.5">
      <c r="A124" s="115"/>
      <c r="B124" s="115"/>
      <c r="C124" s="115"/>
      <c r="D124" s="115"/>
      <c r="E124" s="115"/>
      <c r="F124" s="115"/>
      <c r="G124" s="115"/>
      <c r="H124" s="115"/>
      <c r="I124" s="115"/>
      <c r="J124" s="115"/>
      <c r="K124" s="115"/>
      <c r="L124" s="115"/>
      <c r="M124" s="115"/>
      <c r="N124" s="115"/>
      <c r="O124" s="115"/>
      <c r="P124" s="115"/>
      <c r="Q124" s="115"/>
    </row>
    <row r="125" spans="1:17" ht="19.5">
      <c r="A125" s="115"/>
      <c r="B125" s="115"/>
      <c r="C125" s="115"/>
      <c r="D125" s="115"/>
      <c r="E125" s="115"/>
      <c r="F125" s="115"/>
      <c r="G125" s="115"/>
      <c r="H125" s="115"/>
      <c r="I125" s="115"/>
      <c r="J125" s="115"/>
      <c r="K125" s="115"/>
      <c r="L125" s="115"/>
      <c r="M125" s="115"/>
      <c r="N125" s="115"/>
      <c r="O125" s="115"/>
      <c r="P125" s="115"/>
      <c r="Q125" s="115"/>
    </row>
    <row r="126" spans="1:17" ht="19.5">
      <c r="A126" s="115"/>
      <c r="B126" s="115"/>
      <c r="C126" s="115"/>
      <c r="D126" s="115"/>
      <c r="E126" s="115"/>
      <c r="F126" s="115"/>
      <c r="G126" s="115"/>
      <c r="H126" s="115"/>
      <c r="I126" s="115"/>
      <c r="J126" s="115"/>
      <c r="K126" s="115"/>
      <c r="L126" s="115"/>
      <c r="M126" s="115"/>
      <c r="N126" s="115"/>
      <c r="O126" s="115"/>
      <c r="P126" s="115"/>
      <c r="Q126" s="115"/>
    </row>
    <row r="127" spans="1:17" ht="19.5">
      <c r="A127" s="115"/>
      <c r="B127" s="115"/>
      <c r="C127" s="115"/>
      <c r="D127" s="115"/>
      <c r="E127" s="115"/>
      <c r="F127" s="115"/>
      <c r="G127" s="115"/>
      <c r="H127" s="115"/>
      <c r="I127" s="115"/>
      <c r="J127" s="115"/>
      <c r="K127" s="115"/>
      <c r="L127" s="115"/>
      <c r="M127" s="115"/>
      <c r="N127" s="115"/>
      <c r="O127" s="115"/>
      <c r="P127" s="115"/>
      <c r="Q127" s="115"/>
    </row>
    <row r="128" spans="1:17" ht="19.5">
      <c r="A128" s="115"/>
      <c r="B128" s="115"/>
      <c r="C128" s="115"/>
      <c r="D128" s="115"/>
      <c r="E128" s="115"/>
      <c r="F128" s="115"/>
      <c r="G128" s="115"/>
      <c r="H128" s="115"/>
      <c r="I128" s="115"/>
      <c r="J128" s="115"/>
      <c r="K128" s="115"/>
      <c r="L128" s="115"/>
      <c r="M128" s="115"/>
      <c r="N128" s="115"/>
      <c r="O128" s="115"/>
      <c r="P128" s="115"/>
      <c r="Q128" s="115"/>
    </row>
    <row r="129" spans="1:17" ht="19.5">
      <c r="A129" s="115"/>
      <c r="B129" s="115"/>
      <c r="C129" s="115"/>
      <c r="D129" s="115"/>
      <c r="E129" s="115"/>
      <c r="F129" s="115"/>
      <c r="G129" s="115"/>
      <c r="H129" s="115"/>
      <c r="I129" s="115"/>
      <c r="J129" s="115"/>
      <c r="K129" s="115"/>
      <c r="L129" s="115"/>
      <c r="M129" s="115"/>
      <c r="N129" s="115"/>
      <c r="O129" s="115"/>
      <c r="P129" s="115"/>
      <c r="Q129" s="115"/>
    </row>
    <row r="130" spans="1:17" ht="19.5">
      <c r="A130" s="115"/>
      <c r="B130" s="115"/>
      <c r="C130" s="115"/>
      <c r="D130" s="115"/>
      <c r="E130" s="115"/>
      <c r="F130" s="115"/>
      <c r="G130" s="115"/>
      <c r="H130" s="115"/>
      <c r="I130" s="115"/>
      <c r="J130" s="115"/>
      <c r="K130" s="115"/>
      <c r="L130" s="115"/>
      <c r="M130" s="115"/>
      <c r="N130" s="115"/>
      <c r="O130" s="115"/>
      <c r="P130" s="115"/>
      <c r="Q130" s="115"/>
    </row>
    <row r="131" spans="1:17" ht="19.5">
      <c r="A131" s="115"/>
      <c r="B131" s="115"/>
      <c r="C131" s="115"/>
      <c r="D131" s="115"/>
      <c r="E131" s="115"/>
      <c r="F131" s="115"/>
      <c r="G131" s="115"/>
      <c r="H131" s="115"/>
      <c r="I131" s="115"/>
      <c r="J131" s="115"/>
      <c r="K131" s="115"/>
      <c r="L131" s="115"/>
      <c r="M131" s="115"/>
      <c r="N131" s="115"/>
      <c r="O131" s="115"/>
      <c r="P131" s="115"/>
      <c r="Q131" s="115"/>
    </row>
    <row r="132" spans="1:17" ht="19.5">
      <c r="A132" s="115"/>
      <c r="B132" s="115"/>
      <c r="C132" s="115"/>
      <c r="D132" s="115"/>
      <c r="E132" s="115"/>
      <c r="F132" s="115"/>
      <c r="G132" s="115"/>
      <c r="H132" s="115"/>
      <c r="I132" s="115"/>
      <c r="J132" s="115"/>
      <c r="K132" s="115"/>
      <c r="L132" s="115"/>
      <c r="M132" s="115"/>
      <c r="N132" s="115"/>
      <c r="O132" s="115"/>
      <c r="P132" s="115"/>
      <c r="Q132" s="115"/>
    </row>
    <row r="133" spans="1:17" ht="19.5">
      <c r="A133" s="115"/>
      <c r="B133" s="115"/>
      <c r="C133" s="115"/>
      <c r="D133" s="115"/>
      <c r="E133" s="115"/>
      <c r="F133" s="115"/>
      <c r="G133" s="115"/>
      <c r="H133" s="115"/>
      <c r="I133" s="115"/>
      <c r="J133" s="115"/>
      <c r="K133" s="115"/>
      <c r="L133" s="115"/>
      <c r="M133" s="115"/>
      <c r="N133" s="115"/>
      <c r="O133" s="115"/>
      <c r="P133" s="115"/>
      <c r="Q133" s="115"/>
    </row>
    <row r="134" spans="1:17" ht="19.5">
      <c r="A134" s="115"/>
      <c r="B134" s="115"/>
      <c r="C134" s="115"/>
      <c r="D134" s="115"/>
      <c r="E134" s="115"/>
      <c r="F134" s="115"/>
      <c r="G134" s="115"/>
      <c r="H134" s="115"/>
      <c r="I134" s="115"/>
      <c r="J134" s="115"/>
      <c r="K134" s="115"/>
      <c r="L134" s="115"/>
      <c r="M134" s="115"/>
      <c r="N134" s="115"/>
      <c r="O134" s="115"/>
      <c r="P134" s="115"/>
      <c r="Q134" s="115"/>
    </row>
    <row r="135" spans="1:17" ht="19.5">
      <c r="A135" s="115"/>
      <c r="B135" s="115"/>
      <c r="C135" s="115"/>
      <c r="D135" s="115"/>
      <c r="E135" s="115"/>
      <c r="F135" s="115"/>
      <c r="G135" s="115"/>
      <c r="H135" s="115"/>
      <c r="I135" s="115"/>
      <c r="J135" s="115"/>
      <c r="K135" s="115"/>
      <c r="L135" s="115"/>
      <c r="M135" s="115"/>
      <c r="N135" s="115"/>
      <c r="O135" s="115"/>
      <c r="P135" s="115"/>
      <c r="Q135" s="115"/>
    </row>
    <row r="136" spans="1:17" ht="19.5">
      <c r="A136" s="115"/>
      <c r="B136" s="115"/>
      <c r="C136" s="115"/>
      <c r="D136" s="115"/>
      <c r="E136" s="115"/>
      <c r="F136" s="115"/>
      <c r="G136" s="115"/>
      <c r="H136" s="115"/>
      <c r="I136" s="115"/>
      <c r="J136" s="115"/>
      <c r="K136" s="115"/>
      <c r="L136" s="115"/>
      <c r="M136" s="115"/>
      <c r="N136" s="115"/>
      <c r="O136" s="115"/>
      <c r="P136" s="115"/>
      <c r="Q136" s="115"/>
    </row>
    <row r="137" spans="1:17" ht="19.5">
      <c r="A137" s="115"/>
      <c r="B137" s="115"/>
      <c r="C137" s="115"/>
      <c r="D137" s="115"/>
      <c r="E137" s="115"/>
      <c r="F137" s="115"/>
      <c r="G137" s="115"/>
      <c r="H137" s="115"/>
      <c r="I137" s="115"/>
      <c r="J137" s="115"/>
      <c r="K137" s="115"/>
      <c r="L137" s="115"/>
      <c r="M137" s="115"/>
      <c r="N137" s="115"/>
      <c r="O137" s="115"/>
      <c r="P137" s="115"/>
      <c r="Q137" s="115"/>
    </row>
    <row r="138" spans="1:17" ht="19.5">
      <c r="A138" s="115"/>
      <c r="B138" s="115"/>
      <c r="C138" s="115"/>
      <c r="D138" s="115"/>
      <c r="E138" s="115"/>
      <c r="F138" s="115"/>
      <c r="G138" s="115"/>
      <c r="H138" s="115"/>
      <c r="I138" s="115"/>
      <c r="J138" s="115"/>
      <c r="K138" s="115"/>
      <c r="L138" s="115"/>
      <c r="M138" s="115"/>
      <c r="N138" s="115"/>
      <c r="O138" s="115"/>
      <c r="P138" s="115"/>
      <c r="Q138" s="115"/>
    </row>
    <row r="139" spans="1:17" ht="19.5">
      <c r="A139" s="115"/>
      <c r="B139" s="115"/>
      <c r="C139" s="115"/>
      <c r="D139" s="115"/>
      <c r="E139" s="115"/>
      <c r="F139" s="115"/>
      <c r="G139" s="115"/>
      <c r="H139" s="115"/>
      <c r="I139" s="115"/>
      <c r="J139" s="115"/>
      <c r="K139" s="115"/>
      <c r="L139" s="115"/>
      <c r="M139" s="115"/>
      <c r="N139" s="115"/>
      <c r="O139" s="115"/>
      <c r="P139" s="115"/>
      <c r="Q139" s="115"/>
    </row>
    <row r="140" spans="1:17" ht="19.5">
      <c r="A140" s="115"/>
      <c r="B140" s="115"/>
      <c r="C140" s="115"/>
      <c r="D140" s="115"/>
      <c r="E140" s="115"/>
      <c r="F140" s="115"/>
      <c r="G140" s="115"/>
      <c r="H140" s="115"/>
      <c r="I140" s="115"/>
      <c r="J140" s="115"/>
      <c r="K140" s="115"/>
      <c r="L140" s="115"/>
      <c r="M140" s="115"/>
      <c r="N140" s="115"/>
      <c r="O140" s="115"/>
      <c r="P140" s="115"/>
      <c r="Q140" s="115"/>
    </row>
    <row r="141" spans="1:17" ht="19.5">
      <c r="A141" s="115"/>
      <c r="B141" s="115"/>
      <c r="C141" s="115"/>
      <c r="D141" s="115"/>
      <c r="E141" s="115"/>
      <c r="F141" s="115"/>
      <c r="G141" s="115"/>
      <c r="H141" s="115"/>
      <c r="I141" s="115"/>
      <c r="J141" s="115"/>
      <c r="K141" s="115"/>
      <c r="L141" s="115"/>
      <c r="M141" s="115"/>
      <c r="N141" s="115"/>
      <c r="O141" s="115"/>
      <c r="P141" s="115"/>
      <c r="Q141" s="115"/>
    </row>
    <row r="142" spans="1:17" ht="19.5">
      <c r="A142" s="115"/>
      <c r="B142" s="115"/>
      <c r="C142" s="115"/>
      <c r="D142" s="115"/>
      <c r="E142" s="115"/>
      <c r="F142" s="115"/>
      <c r="G142" s="115"/>
      <c r="H142" s="115"/>
      <c r="I142" s="115"/>
      <c r="J142" s="115"/>
      <c r="K142" s="115"/>
      <c r="L142" s="115"/>
      <c r="M142" s="115"/>
      <c r="N142" s="115"/>
      <c r="O142" s="115"/>
      <c r="P142" s="115"/>
      <c r="Q142" s="115"/>
    </row>
    <row r="143" spans="1:17" ht="19.5">
      <c r="A143" s="115"/>
      <c r="B143" s="115"/>
      <c r="C143" s="115"/>
      <c r="D143" s="115"/>
      <c r="E143" s="115"/>
      <c r="F143" s="115"/>
      <c r="G143" s="115"/>
      <c r="H143" s="115"/>
      <c r="I143" s="115"/>
      <c r="J143" s="115"/>
      <c r="K143" s="115"/>
      <c r="L143" s="115"/>
      <c r="M143" s="115"/>
      <c r="N143" s="115"/>
      <c r="O143" s="115"/>
      <c r="P143" s="115"/>
      <c r="Q143" s="115"/>
    </row>
    <row r="144" spans="1:17" ht="19.5">
      <c r="A144" s="115"/>
      <c r="B144" s="115"/>
      <c r="C144" s="115"/>
      <c r="D144" s="115"/>
      <c r="E144" s="115"/>
      <c r="F144" s="115"/>
      <c r="G144" s="115"/>
      <c r="H144" s="115"/>
      <c r="I144" s="115"/>
      <c r="J144" s="115"/>
      <c r="K144" s="115"/>
      <c r="L144" s="115"/>
      <c r="M144" s="115"/>
      <c r="N144" s="115"/>
      <c r="O144" s="115"/>
      <c r="P144" s="115"/>
      <c r="Q144" s="115"/>
    </row>
    <row r="145" spans="1:17" ht="19.5">
      <c r="A145" s="115"/>
      <c r="B145" s="115"/>
      <c r="C145" s="115"/>
      <c r="D145" s="115"/>
      <c r="E145" s="115"/>
      <c r="F145" s="115"/>
      <c r="G145" s="115"/>
      <c r="H145" s="115"/>
      <c r="I145" s="115"/>
      <c r="J145" s="115"/>
      <c r="K145" s="115"/>
      <c r="L145" s="115"/>
      <c r="M145" s="115"/>
      <c r="N145" s="115"/>
      <c r="O145" s="115"/>
      <c r="P145" s="115"/>
      <c r="Q145" s="115"/>
    </row>
    <row r="146" spans="1:17" ht="19.5">
      <c r="A146" s="115"/>
      <c r="B146" s="115"/>
      <c r="C146" s="115"/>
      <c r="D146" s="115"/>
      <c r="E146" s="115"/>
      <c r="F146" s="115"/>
      <c r="G146" s="115"/>
      <c r="H146" s="115"/>
      <c r="I146" s="115"/>
      <c r="J146" s="115"/>
      <c r="K146" s="115"/>
      <c r="L146" s="115"/>
      <c r="M146" s="115"/>
      <c r="N146" s="115"/>
      <c r="O146" s="115"/>
      <c r="P146" s="115"/>
      <c r="Q146" s="115"/>
    </row>
    <row r="147" spans="1:17" ht="19.5">
      <c r="A147" s="115"/>
      <c r="B147" s="115"/>
      <c r="C147" s="115"/>
      <c r="D147" s="115"/>
      <c r="E147" s="115"/>
      <c r="F147" s="115"/>
      <c r="G147" s="115"/>
      <c r="H147" s="115"/>
      <c r="I147" s="115"/>
      <c r="J147" s="115"/>
      <c r="K147" s="115"/>
      <c r="L147" s="115"/>
      <c r="M147" s="115"/>
      <c r="N147" s="115"/>
      <c r="O147" s="115"/>
      <c r="P147" s="115"/>
      <c r="Q147" s="115"/>
    </row>
    <row r="148" spans="1:17" ht="19.5">
      <c r="A148" s="115"/>
      <c r="B148" s="115"/>
      <c r="C148" s="115"/>
      <c r="D148" s="115"/>
      <c r="E148" s="115"/>
      <c r="F148" s="115"/>
      <c r="G148" s="115"/>
      <c r="H148" s="115"/>
      <c r="I148" s="115"/>
      <c r="J148" s="115"/>
      <c r="K148" s="115"/>
      <c r="L148" s="115"/>
      <c r="M148" s="115"/>
      <c r="N148" s="115"/>
      <c r="O148" s="115"/>
      <c r="P148" s="115"/>
      <c r="Q148" s="115"/>
    </row>
    <row r="149" spans="1:17" ht="19.5">
      <c r="A149" s="115"/>
      <c r="B149" s="115"/>
      <c r="C149" s="115"/>
      <c r="D149" s="115"/>
      <c r="E149" s="115"/>
      <c r="F149" s="115"/>
      <c r="G149" s="115"/>
      <c r="H149" s="115"/>
      <c r="I149" s="115"/>
      <c r="J149" s="115"/>
      <c r="K149" s="115"/>
      <c r="L149" s="115"/>
      <c r="M149" s="115"/>
      <c r="N149" s="115"/>
      <c r="O149" s="115"/>
      <c r="P149" s="115"/>
      <c r="Q149" s="115"/>
    </row>
    <row r="150" spans="1:17" ht="19.5">
      <c r="A150" s="115"/>
      <c r="B150" s="115"/>
      <c r="C150" s="115"/>
      <c r="D150" s="115"/>
      <c r="E150" s="115"/>
      <c r="F150" s="115"/>
      <c r="G150" s="115"/>
      <c r="H150" s="115"/>
      <c r="I150" s="115"/>
      <c r="J150" s="115"/>
      <c r="K150" s="115"/>
      <c r="L150" s="115"/>
      <c r="M150" s="115"/>
      <c r="N150" s="115"/>
      <c r="O150" s="115"/>
      <c r="P150" s="115"/>
      <c r="Q150" s="115"/>
    </row>
    <row r="151" spans="1:17" ht="19.5">
      <c r="A151" s="115"/>
      <c r="B151" s="115"/>
      <c r="C151" s="115"/>
      <c r="D151" s="115"/>
      <c r="E151" s="115"/>
      <c r="F151" s="115"/>
      <c r="G151" s="115"/>
      <c r="H151" s="115"/>
      <c r="I151" s="115"/>
      <c r="J151" s="115"/>
      <c r="K151" s="115"/>
      <c r="L151" s="115"/>
      <c r="M151" s="115"/>
      <c r="N151" s="115"/>
      <c r="O151" s="115"/>
      <c r="P151" s="115"/>
      <c r="Q151" s="115"/>
    </row>
    <row r="152" spans="1:17" ht="19.5">
      <c r="A152" s="115"/>
      <c r="B152" s="115"/>
      <c r="C152" s="115"/>
      <c r="D152" s="115"/>
      <c r="E152" s="115"/>
      <c r="F152" s="115"/>
      <c r="G152" s="115"/>
      <c r="H152" s="115"/>
      <c r="I152" s="115"/>
      <c r="J152" s="115"/>
      <c r="K152" s="115"/>
      <c r="L152" s="115"/>
      <c r="M152" s="115"/>
      <c r="N152" s="115"/>
      <c r="O152" s="115"/>
      <c r="P152" s="115"/>
      <c r="Q152" s="115"/>
    </row>
    <row r="153" spans="1:17" ht="19.5">
      <c r="A153" s="115"/>
      <c r="B153" s="115"/>
      <c r="C153" s="115"/>
      <c r="D153" s="115"/>
      <c r="E153" s="115"/>
      <c r="F153" s="115"/>
      <c r="G153" s="115"/>
      <c r="H153" s="115"/>
      <c r="I153" s="115"/>
      <c r="J153" s="115"/>
      <c r="K153" s="115"/>
      <c r="L153" s="115"/>
      <c r="M153" s="115"/>
      <c r="N153" s="115"/>
      <c r="O153" s="115"/>
      <c r="P153" s="115"/>
      <c r="Q153" s="115"/>
    </row>
    <row r="154" spans="1:17" ht="19.5">
      <c r="A154" s="115"/>
      <c r="B154" s="115"/>
      <c r="C154" s="115"/>
      <c r="D154" s="115"/>
      <c r="E154" s="115"/>
      <c r="F154" s="115"/>
      <c r="G154" s="115"/>
      <c r="H154" s="115"/>
      <c r="I154" s="115"/>
      <c r="J154" s="115"/>
      <c r="K154" s="115"/>
      <c r="L154" s="115"/>
      <c r="M154" s="115"/>
      <c r="N154" s="115"/>
      <c r="O154" s="115"/>
      <c r="P154" s="115"/>
      <c r="Q154" s="115"/>
    </row>
    <row r="155" spans="1:17" ht="19.5">
      <c r="A155" s="115"/>
      <c r="B155" s="115"/>
      <c r="C155" s="115"/>
      <c r="D155" s="115"/>
      <c r="E155" s="115"/>
      <c r="F155" s="115"/>
      <c r="G155" s="115"/>
      <c r="H155" s="115"/>
      <c r="I155" s="115"/>
      <c r="J155" s="115"/>
      <c r="K155" s="115"/>
      <c r="L155" s="115"/>
      <c r="M155" s="115"/>
      <c r="N155" s="115"/>
      <c r="O155" s="115"/>
      <c r="P155" s="115"/>
      <c r="Q155" s="115"/>
    </row>
    <row r="156" spans="1:17" ht="19.5">
      <c r="A156" s="115"/>
      <c r="B156" s="115"/>
      <c r="C156" s="115"/>
      <c r="D156" s="115"/>
      <c r="E156" s="115"/>
      <c r="F156" s="115"/>
      <c r="G156" s="115"/>
      <c r="H156" s="115"/>
      <c r="I156" s="115"/>
      <c r="J156" s="115"/>
      <c r="K156" s="115"/>
      <c r="L156" s="115"/>
      <c r="M156" s="115"/>
      <c r="N156" s="115"/>
      <c r="O156" s="115"/>
      <c r="P156" s="115"/>
      <c r="Q156" s="115"/>
    </row>
    <row r="157" spans="1:17" ht="19.5">
      <c r="A157" s="115"/>
      <c r="B157" s="115"/>
      <c r="C157" s="115"/>
      <c r="D157" s="115"/>
      <c r="E157" s="115"/>
      <c r="F157" s="115"/>
      <c r="G157" s="115"/>
      <c r="H157" s="115"/>
      <c r="I157" s="115"/>
      <c r="J157" s="115"/>
      <c r="K157" s="115"/>
      <c r="L157" s="115"/>
      <c r="M157" s="115"/>
      <c r="N157" s="115"/>
      <c r="O157" s="115"/>
      <c r="P157" s="115"/>
      <c r="Q157" s="115"/>
    </row>
    <row r="158" spans="1:17" ht="19.5">
      <c r="A158" s="115"/>
      <c r="B158" s="115"/>
      <c r="C158" s="115"/>
      <c r="D158" s="115"/>
      <c r="E158" s="115"/>
      <c r="F158" s="115"/>
      <c r="G158" s="115"/>
      <c r="H158" s="115"/>
      <c r="I158" s="115"/>
      <c r="J158" s="115"/>
      <c r="K158" s="115"/>
      <c r="L158" s="115"/>
      <c r="M158" s="115"/>
      <c r="N158" s="115"/>
      <c r="O158" s="115"/>
      <c r="P158" s="115"/>
      <c r="Q158" s="115"/>
    </row>
    <row r="159" spans="1:17" ht="19.5">
      <c r="A159" s="115"/>
      <c r="B159" s="115"/>
      <c r="C159" s="115"/>
      <c r="D159" s="115"/>
      <c r="E159" s="115"/>
      <c r="F159" s="115"/>
      <c r="G159" s="115"/>
      <c r="H159" s="115"/>
      <c r="I159" s="115"/>
      <c r="J159" s="115"/>
      <c r="K159" s="115"/>
      <c r="L159" s="115"/>
      <c r="M159" s="115"/>
      <c r="N159" s="115"/>
      <c r="O159" s="115"/>
      <c r="P159" s="115"/>
      <c r="Q159" s="115"/>
    </row>
    <row r="160" spans="1:17" ht="19.5">
      <c r="A160" s="115"/>
      <c r="B160" s="115"/>
      <c r="C160" s="115"/>
      <c r="D160" s="115"/>
      <c r="E160" s="115"/>
      <c r="F160" s="115"/>
      <c r="G160" s="115"/>
      <c r="H160" s="115"/>
      <c r="I160" s="115"/>
      <c r="J160" s="115"/>
      <c r="K160" s="115"/>
      <c r="L160" s="115"/>
      <c r="M160" s="115"/>
      <c r="N160" s="115"/>
      <c r="O160" s="115"/>
      <c r="P160" s="115"/>
      <c r="Q160" s="115"/>
    </row>
    <row r="161" spans="1:17" ht="19.5">
      <c r="A161" s="115"/>
      <c r="B161" s="115"/>
      <c r="C161" s="115"/>
      <c r="D161" s="115"/>
      <c r="E161" s="115"/>
      <c r="F161" s="115"/>
      <c r="G161" s="115"/>
      <c r="H161" s="115"/>
      <c r="I161" s="115"/>
      <c r="J161" s="115"/>
      <c r="K161" s="115"/>
      <c r="L161" s="115"/>
      <c r="M161" s="115"/>
      <c r="N161" s="115"/>
      <c r="O161" s="115"/>
      <c r="P161" s="115"/>
      <c r="Q161" s="115"/>
    </row>
    <row r="162" spans="1:17" ht="19.5">
      <c r="A162" s="115"/>
      <c r="B162" s="115"/>
      <c r="C162" s="115"/>
      <c r="D162" s="115"/>
      <c r="E162" s="115"/>
      <c r="F162" s="115"/>
      <c r="G162" s="115"/>
      <c r="H162" s="115"/>
      <c r="I162" s="115"/>
      <c r="J162" s="115"/>
      <c r="K162" s="115"/>
      <c r="L162" s="115"/>
      <c r="M162" s="115"/>
      <c r="N162" s="115"/>
      <c r="O162" s="115"/>
      <c r="P162" s="115"/>
      <c r="Q162" s="115"/>
    </row>
    <row r="163" spans="1:17" ht="19.5">
      <c r="A163" s="115"/>
      <c r="B163" s="115"/>
      <c r="C163" s="115"/>
      <c r="D163" s="115"/>
      <c r="E163" s="115"/>
      <c r="F163" s="115"/>
      <c r="G163" s="115"/>
      <c r="H163" s="115"/>
      <c r="I163" s="115"/>
      <c r="J163" s="115"/>
      <c r="K163" s="115"/>
      <c r="L163" s="115"/>
      <c r="M163" s="115"/>
      <c r="N163" s="115"/>
      <c r="O163" s="115"/>
      <c r="P163" s="115"/>
      <c r="Q163" s="115"/>
    </row>
    <row r="164" spans="1:17" ht="19.5">
      <c r="A164" s="115"/>
      <c r="B164" s="115"/>
      <c r="C164" s="115"/>
      <c r="D164" s="115"/>
      <c r="E164" s="115"/>
      <c r="F164" s="115"/>
      <c r="G164" s="115"/>
      <c r="H164" s="115"/>
      <c r="I164" s="115"/>
      <c r="J164" s="115"/>
      <c r="K164" s="115"/>
      <c r="L164" s="115"/>
      <c r="M164" s="115"/>
      <c r="N164" s="115"/>
      <c r="O164" s="115"/>
      <c r="P164" s="115"/>
      <c r="Q164" s="115"/>
    </row>
    <row r="165" spans="1:17" ht="19.5">
      <c r="A165" s="115"/>
      <c r="B165" s="115"/>
      <c r="C165" s="115"/>
      <c r="D165" s="115"/>
      <c r="E165" s="115"/>
      <c r="F165" s="115"/>
      <c r="G165" s="115"/>
      <c r="H165" s="115"/>
      <c r="I165" s="115"/>
      <c r="J165" s="115"/>
      <c r="K165" s="115"/>
      <c r="L165" s="115"/>
      <c r="M165" s="115"/>
      <c r="N165" s="115"/>
      <c r="O165" s="115"/>
      <c r="P165" s="115"/>
      <c r="Q165" s="115"/>
    </row>
    <row r="166" spans="1:17" ht="19.5">
      <c r="A166" s="115"/>
      <c r="B166" s="115"/>
      <c r="C166" s="115"/>
      <c r="D166" s="115"/>
      <c r="E166" s="115"/>
      <c r="F166" s="115"/>
      <c r="G166" s="115"/>
      <c r="H166" s="115"/>
      <c r="I166" s="115"/>
      <c r="J166" s="115"/>
      <c r="K166" s="115"/>
      <c r="L166" s="115"/>
      <c r="M166" s="115"/>
      <c r="N166" s="115"/>
      <c r="O166" s="115"/>
      <c r="P166" s="115"/>
      <c r="Q166" s="115"/>
    </row>
    <row r="167" spans="1:17" ht="19.5">
      <c r="A167" s="115"/>
      <c r="B167" s="115"/>
      <c r="C167" s="115"/>
      <c r="D167" s="115"/>
      <c r="E167" s="115"/>
      <c r="F167" s="115"/>
      <c r="G167" s="115"/>
      <c r="H167" s="115"/>
      <c r="I167" s="115"/>
      <c r="J167" s="115"/>
      <c r="K167" s="115"/>
      <c r="L167" s="115"/>
      <c r="M167" s="115"/>
      <c r="N167" s="115"/>
      <c r="O167" s="115"/>
      <c r="P167" s="115"/>
      <c r="Q167" s="115"/>
    </row>
    <row r="168" spans="1:17" ht="19.5">
      <c r="A168" s="115"/>
      <c r="B168" s="115"/>
      <c r="C168" s="115"/>
      <c r="D168" s="115"/>
      <c r="E168" s="115"/>
      <c r="F168" s="115"/>
      <c r="G168" s="115"/>
      <c r="H168" s="115"/>
      <c r="I168" s="115"/>
      <c r="J168" s="115"/>
      <c r="K168" s="115"/>
      <c r="L168" s="115"/>
      <c r="M168" s="115"/>
      <c r="N168" s="115"/>
      <c r="O168" s="115"/>
      <c r="P168" s="115"/>
      <c r="Q168" s="115"/>
    </row>
    <row r="169" spans="1:17" ht="19.5">
      <c r="A169" s="115"/>
      <c r="B169" s="115"/>
      <c r="C169" s="115"/>
      <c r="D169" s="115"/>
      <c r="E169" s="115"/>
      <c r="F169" s="115"/>
      <c r="G169" s="115"/>
      <c r="H169" s="115"/>
      <c r="I169" s="115"/>
      <c r="J169" s="115"/>
      <c r="K169" s="115"/>
      <c r="L169" s="115"/>
      <c r="M169" s="115"/>
      <c r="N169" s="115"/>
      <c r="O169" s="115"/>
      <c r="P169" s="115"/>
      <c r="Q169" s="115"/>
    </row>
    <row r="170" spans="1:17" ht="19.5">
      <c r="A170" s="115"/>
      <c r="B170" s="115"/>
      <c r="C170" s="115"/>
      <c r="D170" s="115"/>
      <c r="E170" s="115"/>
      <c r="F170" s="115"/>
      <c r="G170" s="115"/>
      <c r="H170" s="115"/>
      <c r="I170" s="115"/>
      <c r="J170" s="115"/>
      <c r="K170" s="115"/>
      <c r="L170" s="115"/>
      <c r="M170" s="115"/>
      <c r="N170" s="115"/>
      <c r="O170" s="115"/>
      <c r="P170" s="115"/>
      <c r="Q170" s="115"/>
    </row>
    <row r="171" spans="1:17" ht="19.5">
      <c r="A171" s="115"/>
      <c r="B171" s="115"/>
      <c r="C171" s="115"/>
      <c r="D171" s="115"/>
      <c r="E171" s="115"/>
      <c r="F171" s="115"/>
      <c r="G171" s="115"/>
      <c r="H171" s="115"/>
      <c r="I171" s="115"/>
      <c r="J171" s="115"/>
      <c r="K171" s="115"/>
      <c r="L171" s="115"/>
      <c r="M171" s="115"/>
      <c r="N171" s="115"/>
      <c r="O171" s="115"/>
      <c r="P171" s="115"/>
      <c r="Q171" s="115"/>
    </row>
    <row r="172" spans="1:17" ht="19.5">
      <c r="A172" s="115"/>
      <c r="B172" s="115"/>
      <c r="C172" s="115"/>
      <c r="D172" s="115"/>
      <c r="E172" s="115"/>
      <c r="F172" s="115"/>
      <c r="G172" s="115"/>
      <c r="H172" s="115"/>
      <c r="I172" s="115"/>
      <c r="J172" s="115"/>
      <c r="K172" s="115"/>
      <c r="L172" s="115"/>
      <c r="M172" s="115"/>
      <c r="N172" s="115"/>
      <c r="O172" s="115"/>
      <c r="P172" s="115"/>
      <c r="Q172" s="115"/>
    </row>
    <row r="173" spans="1:17" ht="19.5">
      <c r="A173" s="115"/>
      <c r="B173" s="115"/>
      <c r="C173" s="115"/>
      <c r="D173" s="115"/>
      <c r="E173" s="115"/>
      <c r="F173" s="115"/>
      <c r="G173" s="115"/>
      <c r="H173" s="115"/>
      <c r="I173" s="115"/>
      <c r="J173" s="115"/>
      <c r="K173" s="115"/>
      <c r="L173" s="115"/>
      <c r="M173" s="115"/>
      <c r="N173" s="115"/>
      <c r="O173" s="115"/>
      <c r="P173" s="115"/>
      <c r="Q173" s="115"/>
    </row>
    <row r="174" spans="1:17" ht="19.5">
      <c r="A174" s="115"/>
      <c r="B174" s="115"/>
      <c r="C174" s="115"/>
      <c r="D174" s="115"/>
      <c r="E174" s="115"/>
      <c r="F174" s="115"/>
      <c r="G174" s="115"/>
      <c r="H174" s="115"/>
      <c r="I174" s="115"/>
      <c r="J174" s="115"/>
      <c r="K174" s="115"/>
      <c r="L174" s="115"/>
      <c r="M174" s="115"/>
      <c r="N174" s="115"/>
      <c r="O174" s="115"/>
      <c r="P174" s="115"/>
      <c r="Q174" s="115"/>
    </row>
    <row r="175" spans="1:17" ht="19.5">
      <c r="A175" s="115"/>
      <c r="B175" s="115"/>
      <c r="C175" s="115"/>
      <c r="D175" s="115"/>
      <c r="E175" s="115"/>
      <c r="F175" s="115"/>
      <c r="G175" s="115"/>
      <c r="H175" s="115"/>
      <c r="I175" s="115"/>
      <c r="J175" s="115"/>
      <c r="K175" s="115"/>
      <c r="L175" s="115"/>
      <c r="M175" s="115"/>
      <c r="N175" s="115"/>
      <c r="O175" s="115"/>
      <c r="P175" s="115"/>
      <c r="Q175" s="115"/>
    </row>
    <row r="176" spans="1:17" ht="19.5">
      <c r="A176" s="115"/>
      <c r="B176" s="115"/>
      <c r="C176" s="115"/>
      <c r="D176" s="115"/>
      <c r="E176" s="115"/>
      <c r="F176" s="115"/>
      <c r="G176" s="115"/>
      <c r="H176" s="115"/>
      <c r="I176" s="115"/>
      <c r="J176" s="115"/>
      <c r="K176" s="115"/>
      <c r="L176" s="115"/>
      <c r="M176" s="115"/>
      <c r="N176" s="115"/>
      <c r="O176" s="115"/>
      <c r="P176" s="115"/>
      <c r="Q176" s="115"/>
    </row>
    <row r="177" spans="1:17" ht="19.5">
      <c r="A177" s="115"/>
      <c r="B177" s="115"/>
      <c r="C177" s="115"/>
      <c r="D177" s="115"/>
      <c r="E177" s="115"/>
      <c r="F177" s="115"/>
      <c r="G177" s="115"/>
      <c r="H177" s="115"/>
      <c r="I177" s="115"/>
      <c r="J177" s="115"/>
      <c r="K177" s="115"/>
      <c r="L177" s="115"/>
      <c r="M177" s="115"/>
      <c r="N177" s="115"/>
      <c r="O177" s="115"/>
      <c r="P177" s="115"/>
      <c r="Q177" s="115"/>
    </row>
    <row r="178" spans="1:17" ht="19.5">
      <c r="A178" s="115"/>
      <c r="B178" s="115"/>
      <c r="C178" s="115"/>
      <c r="D178" s="115"/>
      <c r="E178" s="115"/>
      <c r="F178" s="115"/>
      <c r="G178" s="115"/>
      <c r="H178" s="115"/>
      <c r="I178" s="115"/>
      <c r="J178" s="115"/>
      <c r="K178" s="115"/>
      <c r="L178" s="115"/>
      <c r="M178" s="115"/>
      <c r="N178" s="115"/>
      <c r="O178" s="115"/>
      <c r="P178" s="115"/>
      <c r="Q178" s="115"/>
    </row>
    <row r="179" spans="1:17" ht="19.5">
      <c r="A179" s="115"/>
      <c r="B179" s="115"/>
      <c r="C179" s="115"/>
      <c r="D179" s="115"/>
      <c r="E179" s="115"/>
      <c r="F179" s="115"/>
      <c r="G179" s="115"/>
      <c r="H179" s="115"/>
      <c r="I179" s="115"/>
      <c r="J179" s="115"/>
      <c r="K179" s="115"/>
      <c r="L179" s="115"/>
      <c r="M179" s="115"/>
      <c r="N179" s="115"/>
      <c r="O179" s="115"/>
      <c r="P179" s="115"/>
      <c r="Q179" s="115"/>
    </row>
    <row r="180" spans="1:17" ht="19.5">
      <c r="A180" s="115"/>
      <c r="B180" s="115"/>
      <c r="C180" s="115"/>
      <c r="D180" s="115"/>
      <c r="E180" s="115"/>
      <c r="F180" s="115"/>
      <c r="G180" s="115"/>
      <c r="H180" s="115"/>
      <c r="I180" s="115"/>
      <c r="J180" s="115"/>
      <c r="K180" s="115"/>
      <c r="L180" s="115"/>
      <c r="M180" s="115"/>
      <c r="N180" s="115"/>
      <c r="O180" s="115"/>
      <c r="P180" s="115"/>
      <c r="Q180" s="115"/>
    </row>
    <row r="181" spans="1:17" ht="19.5">
      <c r="A181" s="115"/>
      <c r="B181" s="115"/>
      <c r="C181" s="115"/>
      <c r="D181" s="115"/>
      <c r="E181" s="115"/>
      <c r="F181" s="115"/>
      <c r="G181" s="115"/>
      <c r="H181" s="115"/>
      <c r="I181" s="115"/>
      <c r="J181" s="115"/>
      <c r="K181" s="115"/>
      <c r="L181" s="115"/>
      <c r="M181" s="115"/>
      <c r="N181" s="115"/>
      <c r="O181" s="115"/>
      <c r="P181" s="115"/>
      <c r="Q181" s="115"/>
    </row>
    <row r="182" spans="1:17" ht="19.5">
      <c r="A182" s="115"/>
      <c r="B182" s="115"/>
      <c r="C182" s="115"/>
      <c r="D182" s="115"/>
      <c r="E182" s="115"/>
      <c r="F182" s="115"/>
      <c r="G182" s="115"/>
      <c r="H182" s="115"/>
      <c r="I182" s="115"/>
      <c r="J182" s="115"/>
      <c r="K182" s="115"/>
      <c r="L182" s="115"/>
      <c r="M182" s="115"/>
      <c r="N182" s="115"/>
      <c r="O182" s="115"/>
      <c r="P182" s="115"/>
      <c r="Q182" s="115"/>
    </row>
    <row r="183" spans="1:17" ht="19.5">
      <c r="A183" s="115"/>
      <c r="B183" s="115"/>
      <c r="C183" s="115"/>
      <c r="D183" s="115"/>
      <c r="E183" s="115"/>
      <c r="F183" s="115"/>
      <c r="G183" s="115"/>
      <c r="H183" s="115"/>
      <c r="I183" s="115"/>
      <c r="J183" s="115"/>
      <c r="K183" s="115"/>
      <c r="L183" s="115"/>
      <c r="M183" s="115"/>
      <c r="N183" s="115"/>
      <c r="O183" s="115"/>
      <c r="P183" s="115"/>
      <c r="Q183" s="115"/>
    </row>
    <row r="184" spans="1:17" ht="19.5">
      <c r="A184" s="115"/>
      <c r="B184" s="115"/>
      <c r="C184" s="115"/>
      <c r="D184" s="115"/>
      <c r="E184" s="115"/>
      <c r="F184" s="115"/>
      <c r="G184" s="115"/>
      <c r="H184" s="115"/>
      <c r="I184" s="115"/>
      <c r="J184" s="115"/>
      <c r="K184" s="115"/>
      <c r="L184" s="115"/>
      <c r="M184" s="115"/>
      <c r="N184" s="115"/>
      <c r="O184" s="115"/>
      <c r="P184" s="115"/>
      <c r="Q184" s="115"/>
    </row>
    <row r="185" spans="1:17" ht="19.5">
      <c r="A185" s="115"/>
      <c r="B185" s="115"/>
      <c r="C185" s="115"/>
      <c r="D185" s="115"/>
      <c r="E185" s="115"/>
      <c r="F185" s="115"/>
      <c r="G185" s="115"/>
      <c r="H185" s="115"/>
      <c r="I185" s="115"/>
      <c r="J185" s="115"/>
      <c r="K185" s="115"/>
      <c r="L185" s="115"/>
      <c r="M185" s="115"/>
      <c r="N185" s="115"/>
      <c r="O185" s="115"/>
      <c r="P185" s="115"/>
      <c r="Q185" s="115"/>
    </row>
    <row r="186" spans="1:17" ht="19.5">
      <c r="A186" s="115"/>
      <c r="B186" s="115"/>
      <c r="C186" s="115"/>
      <c r="D186" s="115"/>
      <c r="E186" s="115"/>
      <c r="F186" s="115"/>
      <c r="G186" s="115"/>
      <c r="H186" s="115"/>
      <c r="I186" s="115"/>
      <c r="J186" s="115"/>
      <c r="K186" s="115"/>
      <c r="L186" s="115"/>
      <c r="M186" s="115"/>
      <c r="N186" s="115"/>
      <c r="O186" s="115"/>
      <c r="P186" s="115"/>
      <c r="Q186" s="115"/>
    </row>
    <row r="187" spans="1:17" ht="19.5">
      <c r="A187" s="115"/>
      <c r="B187" s="115"/>
      <c r="C187" s="115"/>
      <c r="D187" s="115"/>
      <c r="E187" s="115"/>
      <c r="F187" s="115"/>
      <c r="G187" s="115"/>
      <c r="H187" s="115"/>
      <c r="I187" s="115"/>
      <c r="J187" s="115"/>
      <c r="K187" s="115"/>
      <c r="L187" s="115"/>
      <c r="M187" s="115"/>
      <c r="N187" s="115"/>
      <c r="O187" s="115"/>
      <c r="P187" s="115"/>
      <c r="Q187" s="115"/>
    </row>
    <row r="188" spans="1:17" ht="19.5">
      <c r="A188" s="115"/>
      <c r="B188" s="115"/>
      <c r="C188" s="115"/>
      <c r="D188" s="115"/>
      <c r="E188" s="115"/>
      <c r="F188" s="115"/>
      <c r="G188" s="115"/>
      <c r="H188" s="115"/>
      <c r="I188" s="115"/>
      <c r="J188" s="115"/>
      <c r="K188" s="115"/>
      <c r="L188" s="115"/>
      <c r="M188" s="115"/>
      <c r="N188" s="115"/>
      <c r="O188" s="115"/>
      <c r="P188" s="115"/>
      <c r="Q188" s="115"/>
    </row>
    <row r="189" spans="1:17" ht="19.5">
      <c r="A189" s="115"/>
      <c r="B189" s="115"/>
      <c r="C189" s="115"/>
      <c r="D189" s="115"/>
      <c r="E189" s="115"/>
      <c r="F189" s="115"/>
      <c r="G189" s="115"/>
      <c r="H189" s="115"/>
      <c r="I189" s="115"/>
      <c r="J189" s="115"/>
      <c r="K189" s="115"/>
      <c r="L189" s="115"/>
      <c r="M189" s="115"/>
      <c r="N189" s="115"/>
      <c r="O189" s="115"/>
      <c r="P189" s="115"/>
      <c r="Q189" s="115"/>
    </row>
    <row r="190" spans="1:17" ht="19.5">
      <c r="A190" s="115"/>
      <c r="B190" s="115"/>
      <c r="C190" s="115"/>
      <c r="D190" s="115"/>
      <c r="E190" s="115"/>
      <c r="F190" s="115"/>
      <c r="G190" s="115"/>
      <c r="H190" s="115"/>
      <c r="I190" s="115"/>
      <c r="J190" s="115"/>
      <c r="K190" s="115"/>
      <c r="L190" s="115"/>
      <c r="M190" s="115"/>
      <c r="N190" s="115"/>
      <c r="O190" s="115"/>
      <c r="P190" s="115"/>
      <c r="Q190" s="115"/>
    </row>
    <row r="191" spans="1:17" ht="19.5">
      <c r="A191" s="115"/>
      <c r="B191" s="115"/>
      <c r="C191" s="115"/>
      <c r="D191" s="115"/>
      <c r="E191" s="115"/>
      <c r="F191" s="115"/>
      <c r="G191" s="115"/>
      <c r="H191" s="115"/>
      <c r="I191" s="115"/>
      <c r="J191" s="115"/>
      <c r="K191" s="115"/>
      <c r="L191" s="115"/>
      <c r="M191" s="115"/>
      <c r="N191" s="115"/>
      <c r="O191" s="115"/>
      <c r="P191" s="115"/>
      <c r="Q191" s="115"/>
    </row>
    <row r="192" spans="1:17" ht="19.5">
      <c r="A192" s="115"/>
      <c r="B192" s="115"/>
      <c r="C192" s="115"/>
      <c r="D192" s="115"/>
      <c r="E192" s="115"/>
      <c r="F192" s="115"/>
      <c r="G192" s="115"/>
      <c r="H192" s="115"/>
      <c r="I192" s="115"/>
      <c r="J192" s="115"/>
      <c r="K192" s="115"/>
      <c r="L192" s="115"/>
      <c r="M192" s="115"/>
      <c r="N192" s="115"/>
      <c r="O192" s="115"/>
      <c r="P192" s="115"/>
      <c r="Q192" s="115"/>
    </row>
    <row r="193" spans="1:17" ht="19.5">
      <c r="A193" s="115"/>
      <c r="B193" s="115"/>
      <c r="C193" s="115"/>
      <c r="D193" s="115"/>
      <c r="E193" s="115"/>
      <c r="F193" s="115"/>
      <c r="G193" s="115"/>
      <c r="H193" s="115"/>
      <c r="I193" s="115"/>
      <c r="J193" s="115"/>
      <c r="K193" s="115"/>
      <c r="L193" s="115"/>
      <c r="M193" s="115"/>
      <c r="N193" s="115"/>
      <c r="O193" s="115"/>
      <c r="P193" s="115"/>
      <c r="Q193" s="115"/>
    </row>
    <row r="194" spans="1:17" ht="19.5">
      <c r="A194" s="115"/>
      <c r="B194" s="115"/>
      <c r="C194" s="115"/>
      <c r="D194" s="115"/>
      <c r="E194" s="115"/>
      <c r="F194" s="115"/>
      <c r="G194" s="115"/>
      <c r="H194" s="115"/>
      <c r="I194" s="115"/>
      <c r="J194" s="115"/>
      <c r="K194" s="115"/>
      <c r="L194" s="115"/>
      <c r="M194" s="115"/>
      <c r="N194" s="115"/>
      <c r="O194" s="115"/>
      <c r="P194" s="115"/>
      <c r="Q194" s="115"/>
    </row>
    <row r="195" spans="1:17" ht="19.5">
      <c r="A195" s="115"/>
      <c r="B195" s="115"/>
      <c r="C195" s="115"/>
      <c r="D195" s="115"/>
      <c r="E195" s="115"/>
      <c r="F195" s="115"/>
      <c r="G195" s="115"/>
      <c r="H195" s="115"/>
      <c r="I195" s="115"/>
      <c r="J195" s="115"/>
      <c r="K195" s="115"/>
      <c r="L195" s="115"/>
      <c r="M195" s="115"/>
      <c r="N195" s="115"/>
      <c r="O195" s="115"/>
      <c r="P195" s="115"/>
      <c r="Q195" s="115"/>
    </row>
    <row r="196" spans="1:17" ht="19.5">
      <c r="A196" s="115"/>
      <c r="B196" s="115"/>
      <c r="C196" s="115"/>
      <c r="D196" s="115"/>
      <c r="E196" s="115"/>
      <c r="F196" s="115"/>
      <c r="G196" s="115"/>
      <c r="H196" s="115"/>
      <c r="I196" s="115"/>
      <c r="J196" s="115"/>
      <c r="K196" s="115"/>
      <c r="L196" s="115"/>
      <c r="M196" s="115"/>
      <c r="N196" s="115"/>
      <c r="O196" s="115"/>
      <c r="P196" s="115"/>
      <c r="Q196" s="115"/>
    </row>
    <row r="197" spans="1:17" ht="19.5">
      <c r="A197" s="115"/>
      <c r="B197" s="115"/>
      <c r="C197" s="115"/>
      <c r="D197" s="115"/>
      <c r="E197" s="115"/>
      <c r="F197" s="115"/>
      <c r="G197" s="115"/>
      <c r="H197" s="115"/>
      <c r="I197" s="115"/>
      <c r="J197" s="115"/>
      <c r="K197" s="115"/>
      <c r="L197" s="115"/>
      <c r="M197" s="115"/>
      <c r="N197" s="115"/>
      <c r="O197" s="115"/>
      <c r="P197" s="115"/>
      <c r="Q197" s="115"/>
    </row>
    <row r="198" spans="1:17" ht="19.5">
      <c r="A198" s="115"/>
      <c r="B198" s="115"/>
      <c r="C198" s="115"/>
      <c r="D198" s="115"/>
      <c r="E198" s="115"/>
      <c r="F198" s="115"/>
      <c r="G198" s="115"/>
      <c r="H198" s="115"/>
      <c r="I198" s="115"/>
      <c r="J198" s="115"/>
      <c r="K198" s="115"/>
      <c r="L198" s="115"/>
      <c r="M198" s="115"/>
      <c r="N198" s="115"/>
      <c r="O198" s="115"/>
      <c r="P198" s="115"/>
      <c r="Q198" s="115"/>
    </row>
    <row r="199" spans="1:17" ht="19.5">
      <c r="A199" s="115"/>
      <c r="B199" s="115"/>
      <c r="C199" s="115"/>
      <c r="D199" s="115"/>
      <c r="E199" s="115"/>
      <c r="F199" s="115"/>
      <c r="G199" s="115"/>
      <c r="H199" s="115"/>
      <c r="I199" s="115"/>
      <c r="J199" s="115"/>
      <c r="K199" s="115"/>
      <c r="L199" s="115"/>
      <c r="M199" s="115"/>
      <c r="N199" s="115"/>
      <c r="O199" s="115"/>
      <c r="P199" s="115"/>
      <c r="Q199" s="115"/>
    </row>
    <row r="200" spans="1:17" ht="19.5">
      <c r="A200" s="115"/>
      <c r="B200" s="115"/>
      <c r="C200" s="115"/>
      <c r="D200" s="115"/>
      <c r="E200" s="115"/>
      <c r="F200" s="115"/>
      <c r="G200" s="115"/>
      <c r="H200" s="115"/>
      <c r="I200" s="115"/>
      <c r="J200" s="115"/>
      <c r="K200" s="115"/>
      <c r="L200" s="115"/>
      <c r="M200" s="115"/>
      <c r="N200" s="115"/>
      <c r="O200" s="115"/>
      <c r="P200" s="115"/>
      <c r="Q200" s="115"/>
    </row>
    <row r="201" spans="1:17" ht="19.5">
      <c r="A201" s="115"/>
      <c r="B201" s="115"/>
      <c r="C201" s="115"/>
      <c r="D201" s="115"/>
      <c r="E201" s="115"/>
      <c r="F201" s="115"/>
      <c r="G201" s="115"/>
      <c r="H201" s="115"/>
      <c r="I201" s="115"/>
      <c r="J201" s="115"/>
      <c r="K201" s="115"/>
      <c r="L201" s="115"/>
      <c r="M201" s="115"/>
      <c r="N201" s="115"/>
      <c r="O201" s="115"/>
      <c r="P201" s="115"/>
      <c r="Q201" s="115"/>
    </row>
    <row r="202" spans="1:17" ht="19.5">
      <c r="A202" s="115"/>
      <c r="B202" s="115"/>
      <c r="C202" s="115"/>
      <c r="D202" s="115"/>
      <c r="E202" s="115"/>
      <c r="F202" s="115"/>
      <c r="G202" s="115"/>
      <c r="H202" s="115"/>
      <c r="I202" s="115"/>
      <c r="J202" s="115"/>
      <c r="K202" s="115"/>
      <c r="L202" s="115"/>
      <c r="M202" s="115"/>
      <c r="N202" s="115"/>
      <c r="O202" s="115"/>
      <c r="P202" s="115"/>
      <c r="Q202" s="115"/>
    </row>
    <row r="203" spans="1:17" ht="19.5">
      <c r="A203" s="115"/>
      <c r="B203" s="115"/>
      <c r="C203" s="115"/>
      <c r="D203" s="115"/>
      <c r="E203" s="115"/>
      <c r="F203" s="115"/>
      <c r="G203" s="115"/>
      <c r="H203" s="115"/>
      <c r="I203" s="115"/>
      <c r="J203" s="115"/>
      <c r="K203" s="115"/>
      <c r="L203" s="115"/>
      <c r="M203" s="115"/>
      <c r="N203" s="115"/>
      <c r="O203" s="115"/>
      <c r="P203" s="115"/>
      <c r="Q203" s="115"/>
    </row>
    <row r="204" spans="1:17" ht="19.5">
      <c r="A204" s="115"/>
      <c r="B204" s="115"/>
      <c r="C204" s="115"/>
      <c r="D204" s="115"/>
      <c r="E204" s="115"/>
      <c r="F204" s="115"/>
      <c r="G204" s="115"/>
      <c r="H204" s="115"/>
      <c r="I204" s="115"/>
      <c r="J204" s="115"/>
      <c r="K204" s="115"/>
      <c r="L204" s="115"/>
      <c r="M204" s="115"/>
      <c r="N204" s="115"/>
      <c r="O204" s="115"/>
      <c r="P204" s="115"/>
      <c r="Q204" s="115"/>
    </row>
    <row r="205" spans="1:17" ht="19.5">
      <c r="A205" s="115"/>
      <c r="B205" s="115"/>
      <c r="C205" s="115"/>
      <c r="D205" s="115"/>
      <c r="E205" s="115"/>
      <c r="F205" s="115"/>
      <c r="G205" s="115"/>
      <c r="H205" s="115"/>
      <c r="I205" s="115"/>
      <c r="J205" s="115"/>
      <c r="K205" s="115"/>
      <c r="L205" s="115"/>
      <c r="M205" s="115"/>
      <c r="N205" s="115"/>
      <c r="O205" s="115"/>
      <c r="P205" s="115"/>
      <c r="Q205" s="115"/>
    </row>
    <row r="206" spans="1:17" ht="19.5">
      <c r="A206" s="115"/>
      <c r="B206" s="115"/>
      <c r="C206" s="115"/>
      <c r="D206" s="115"/>
      <c r="E206" s="115"/>
      <c r="F206" s="115"/>
      <c r="G206" s="115"/>
      <c r="H206" s="115"/>
      <c r="I206" s="115"/>
      <c r="J206" s="115"/>
      <c r="K206" s="115"/>
      <c r="L206" s="115"/>
      <c r="M206" s="115"/>
      <c r="N206" s="115"/>
      <c r="O206" s="115"/>
      <c r="P206" s="115"/>
      <c r="Q206" s="115"/>
    </row>
    <row r="207" spans="1:17" ht="19.5">
      <c r="A207" s="115"/>
      <c r="B207" s="115"/>
      <c r="C207" s="115"/>
      <c r="D207" s="115"/>
      <c r="E207" s="115"/>
      <c r="F207" s="115"/>
      <c r="G207" s="115"/>
      <c r="H207" s="115"/>
      <c r="I207" s="115"/>
      <c r="J207" s="115"/>
      <c r="K207" s="115"/>
      <c r="L207" s="115"/>
      <c r="M207" s="115"/>
      <c r="N207" s="115"/>
      <c r="O207" s="115"/>
      <c r="P207" s="115"/>
      <c r="Q207" s="115"/>
    </row>
    <row r="208" spans="1:17" ht="19.5">
      <c r="A208" s="115"/>
      <c r="B208" s="115"/>
      <c r="C208" s="115"/>
      <c r="D208" s="115"/>
      <c r="E208" s="115"/>
      <c r="F208" s="115"/>
      <c r="G208" s="115"/>
      <c r="H208" s="115"/>
      <c r="I208" s="115"/>
      <c r="J208" s="115"/>
      <c r="K208" s="115"/>
      <c r="L208" s="115"/>
      <c r="M208" s="115"/>
      <c r="N208" s="115"/>
      <c r="O208" s="115"/>
      <c r="P208" s="115"/>
      <c r="Q208" s="115"/>
    </row>
    <row r="209" spans="1:17" ht="19.5">
      <c r="A209" s="115"/>
      <c r="B209" s="115"/>
      <c r="C209" s="115"/>
      <c r="D209" s="115"/>
      <c r="E209" s="115"/>
      <c r="F209" s="115"/>
      <c r="G209" s="115"/>
      <c r="H209" s="115"/>
      <c r="I209" s="115"/>
      <c r="J209" s="115"/>
      <c r="K209" s="115"/>
      <c r="L209" s="115"/>
      <c r="M209" s="115"/>
      <c r="N209" s="115"/>
      <c r="O209" s="115"/>
      <c r="P209" s="115"/>
      <c r="Q209" s="115"/>
    </row>
    <row r="210" spans="1:17" ht="19.5">
      <c r="A210" s="115"/>
      <c r="B210" s="115"/>
      <c r="C210" s="115"/>
      <c r="D210" s="115"/>
      <c r="E210" s="115"/>
      <c r="F210" s="115"/>
      <c r="G210" s="115"/>
      <c r="H210" s="115"/>
      <c r="I210" s="115"/>
      <c r="J210" s="115"/>
      <c r="K210" s="115"/>
      <c r="L210" s="115"/>
      <c r="M210" s="115"/>
      <c r="N210" s="115"/>
      <c r="O210" s="115"/>
      <c r="P210" s="115"/>
      <c r="Q210" s="115"/>
    </row>
    <row r="211" spans="1:17" ht="19.5">
      <c r="A211" s="115"/>
      <c r="B211" s="115"/>
      <c r="C211" s="115"/>
      <c r="D211" s="115"/>
      <c r="E211" s="115"/>
      <c r="F211" s="115"/>
      <c r="G211" s="115"/>
      <c r="H211" s="115"/>
      <c r="I211" s="115"/>
      <c r="J211" s="115"/>
      <c r="K211" s="115"/>
      <c r="L211" s="115"/>
      <c r="M211" s="115"/>
      <c r="N211" s="115"/>
      <c r="O211" s="115"/>
      <c r="P211" s="115"/>
      <c r="Q211" s="115"/>
    </row>
    <row r="212" spans="1:17" ht="19.5">
      <c r="A212" s="115"/>
      <c r="B212" s="115"/>
      <c r="C212" s="115"/>
      <c r="D212" s="115"/>
      <c r="E212" s="115"/>
      <c r="F212" s="115"/>
      <c r="G212" s="115"/>
      <c r="H212" s="115"/>
      <c r="I212" s="115"/>
      <c r="J212" s="115"/>
      <c r="K212" s="115"/>
      <c r="L212" s="115"/>
      <c r="M212" s="115"/>
      <c r="N212" s="115"/>
      <c r="O212" s="115"/>
      <c r="P212" s="115"/>
      <c r="Q212" s="115"/>
    </row>
    <row r="213" spans="1:17" ht="19.5">
      <c r="A213" s="115"/>
      <c r="B213" s="115"/>
      <c r="C213" s="115"/>
      <c r="D213" s="115"/>
      <c r="E213" s="115"/>
      <c r="F213" s="115"/>
      <c r="G213" s="115"/>
      <c r="H213" s="115"/>
      <c r="I213" s="115"/>
      <c r="J213" s="115"/>
      <c r="K213" s="115"/>
      <c r="L213" s="115"/>
      <c r="M213" s="115"/>
      <c r="N213" s="115"/>
      <c r="O213" s="115"/>
      <c r="P213" s="115"/>
      <c r="Q213" s="115"/>
    </row>
    <row r="214" spans="1:17" ht="19.5">
      <c r="A214" s="115"/>
      <c r="B214" s="115"/>
      <c r="C214" s="115"/>
      <c r="D214" s="115"/>
      <c r="E214" s="115"/>
      <c r="F214" s="115"/>
      <c r="G214" s="115"/>
      <c r="H214" s="115"/>
      <c r="I214" s="115"/>
      <c r="J214" s="115"/>
      <c r="K214" s="115"/>
      <c r="L214" s="115"/>
      <c r="M214" s="115"/>
      <c r="N214" s="115"/>
      <c r="O214" s="115"/>
      <c r="P214" s="115"/>
      <c r="Q214" s="115"/>
    </row>
    <row r="215" spans="1:17" ht="19.5">
      <c r="A215" s="115"/>
      <c r="B215" s="115"/>
      <c r="C215" s="115"/>
      <c r="D215" s="115"/>
      <c r="E215" s="115"/>
      <c r="F215" s="115"/>
      <c r="G215" s="115"/>
      <c r="H215" s="115"/>
      <c r="I215" s="115"/>
      <c r="J215" s="115"/>
      <c r="K215" s="115"/>
      <c r="L215" s="115"/>
      <c r="M215" s="115"/>
      <c r="N215" s="115"/>
      <c r="O215" s="115"/>
      <c r="P215" s="115"/>
      <c r="Q215" s="115"/>
    </row>
    <row r="216" spans="1:17" ht="19.5">
      <c r="A216" s="115"/>
      <c r="B216" s="115"/>
      <c r="C216" s="115"/>
      <c r="D216" s="115"/>
      <c r="E216" s="115"/>
      <c r="F216" s="115"/>
      <c r="G216" s="115"/>
      <c r="H216" s="115"/>
      <c r="I216" s="115"/>
      <c r="J216" s="115"/>
      <c r="K216" s="115"/>
      <c r="L216" s="115"/>
      <c r="M216" s="115"/>
      <c r="N216" s="115"/>
      <c r="O216" s="115"/>
      <c r="P216" s="115"/>
      <c r="Q216" s="115"/>
    </row>
    <row r="217" spans="1:17" ht="19.5">
      <c r="A217" s="115"/>
      <c r="B217" s="115"/>
      <c r="C217" s="115"/>
      <c r="D217" s="115"/>
      <c r="E217" s="115"/>
      <c r="F217" s="115"/>
      <c r="G217" s="115"/>
      <c r="H217" s="115"/>
      <c r="I217" s="115"/>
      <c r="J217" s="115"/>
      <c r="K217" s="115"/>
      <c r="L217" s="115"/>
      <c r="M217" s="115"/>
      <c r="N217" s="115"/>
      <c r="O217" s="115"/>
      <c r="P217" s="115"/>
      <c r="Q217" s="115"/>
    </row>
    <row r="218" spans="1:17" ht="19.5">
      <c r="A218" s="115"/>
      <c r="B218" s="115"/>
      <c r="C218" s="115"/>
      <c r="D218" s="115"/>
      <c r="E218" s="115"/>
      <c r="F218" s="115"/>
      <c r="G218" s="115"/>
      <c r="H218" s="115"/>
      <c r="I218" s="115"/>
      <c r="J218" s="115"/>
      <c r="K218" s="115"/>
      <c r="L218" s="115"/>
      <c r="M218" s="115"/>
      <c r="N218" s="115"/>
      <c r="O218" s="115"/>
      <c r="P218" s="115"/>
      <c r="Q218" s="115"/>
    </row>
    <row r="219" spans="1:17" ht="19.5">
      <c r="A219" s="115"/>
      <c r="B219" s="115"/>
      <c r="C219" s="115"/>
      <c r="D219" s="115"/>
      <c r="E219" s="115"/>
      <c r="F219" s="115"/>
      <c r="G219" s="115"/>
      <c r="H219" s="115"/>
      <c r="I219" s="115"/>
      <c r="J219" s="115"/>
      <c r="K219" s="115"/>
      <c r="L219" s="115"/>
      <c r="M219" s="115"/>
      <c r="N219" s="115"/>
      <c r="O219" s="115"/>
      <c r="P219" s="115"/>
      <c r="Q219" s="115"/>
    </row>
    <row r="220" spans="1:17" ht="19.5">
      <c r="A220" s="115"/>
      <c r="B220" s="115"/>
      <c r="C220" s="115"/>
      <c r="D220" s="115"/>
      <c r="E220" s="115"/>
      <c r="F220" s="115"/>
      <c r="G220" s="115"/>
      <c r="H220" s="115"/>
      <c r="I220" s="115"/>
      <c r="J220" s="115"/>
      <c r="K220" s="115"/>
      <c r="L220" s="115"/>
      <c r="M220" s="115"/>
      <c r="N220" s="115"/>
      <c r="O220" s="115"/>
      <c r="P220" s="115"/>
      <c r="Q220" s="115"/>
    </row>
    <row r="221" spans="1:17" ht="19.5">
      <c r="A221" s="115"/>
      <c r="B221" s="115"/>
      <c r="C221" s="115"/>
      <c r="D221" s="115"/>
      <c r="E221" s="115"/>
      <c r="F221" s="115"/>
      <c r="G221" s="115"/>
      <c r="H221" s="115"/>
      <c r="I221" s="115"/>
      <c r="J221" s="115"/>
      <c r="K221" s="115"/>
      <c r="L221" s="115"/>
      <c r="M221" s="115"/>
      <c r="N221" s="115"/>
      <c r="O221" s="115"/>
      <c r="P221" s="115"/>
      <c r="Q221" s="115"/>
    </row>
    <row r="222" spans="1:17" ht="19.5">
      <c r="A222" s="115"/>
      <c r="B222" s="115"/>
      <c r="C222" s="115"/>
      <c r="D222" s="115"/>
      <c r="E222" s="115"/>
      <c r="F222" s="115"/>
      <c r="G222" s="115"/>
      <c r="H222" s="115"/>
      <c r="I222" s="115"/>
      <c r="J222" s="115"/>
      <c r="K222" s="115"/>
      <c r="L222" s="115"/>
      <c r="M222" s="115"/>
      <c r="N222" s="115"/>
      <c r="O222" s="115"/>
      <c r="P222" s="115"/>
      <c r="Q222" s="115"/>
    </row>
    <row r="223" spans="1:17" ht="19.5">
      <c r="A223" s="115"/>
      <c r="B223" s="115"/>
      <c r="C223" s="115"/>
      <c r="D223" s="115"/>
      <c r="E223" s="115"/>
      <c r="F223" s="115"/>
      <c r="G223" s="115"/>
      <c r="H223" s="115"/>
      <c r="I223" s="115"/>
      <c r="J223" s="115"/>
      <c r="K223" s="115"/>
      <c r="L223" s="115"/>
      <c r="M223" s="115"/>
      <c r="N223" s="115"/>
      <c r="O223" s="115"/>
      <c r="P223" s="115"/>
      <c r="Q223" s="115"/>
    </row>
    <row r="224" spans="1:17" ht="19.5">
      <c r="A224" s="115"/>
      <c r="B224" s="115"/>
      <c r="C224" s="115"/>
      <c r="D224" s="115"/>
      <c r="E224" s="115"/>
      <c r="F224" s="115"/>
      <c r="G224" s="115"/>
      <c r="H224" s="115"/>
      <c r="I224" s="115"/>
      <c r="J224" s="115"/>
      <c r="K224" s="115"/>
      <c r="L224" s="115"/>
      <c r="M224" s="115"/>
      <c r="N224" s="115"/>
      <c r="O224" s="115"/>
      <c r="P224" s="115"/>
      <c r="Q224" s="115"/>
    </row>
    <row r="225" spans="1:17" ht="19.5">
      <c r="A225" s="115"/>
      <c r="B225" s="115"/>
      <c r="C225" s="115"/>
      <c r="D225" s="115"/>
      <c r="E225" s="115"/>
      <c r="F225" s="115"/>
      <c r="G225" s="115"/>
      <c r="H225" s="115"/>
      <c r="I225" s="115"/>
      <c r="J225" s="115"/>
      <c r="K225" s="115"/>
      <c r="L225" s="115"/>
      <c r="M225" s="115"/>
      <c r="N225" s="115"/>
      <c r="O225" s="115"/>
      <c r="P225" s="115"/>
      <c r="Q225" s="115"/>
    </row>
    <row r="226" spans="1:17" ht="19.5">
      <c r="A226" s="115"/>
      <c r="B226" s="115"/>
      <c r="C226" s="115"/>
      <c r="D226" s="115"/>
      <c r="E226" s="115"/>
      <c r="F226" s="115"/>
      <c r="G226" s="115"/>
      <c r="H226" s="115"/>
      <c r="I226" s="115"/>
      <c r="J226" s="115"/>
      <c r="K226" s="115"/>
      <c r="L226" s="115"/>
      <c r="M226" s="115"/>
      <c r="N226" s="115"/>
      <c r="O226" s="115"/>
      <c r="P226" s="115"/>
      <c r="Q226" s="115"/>
    </row>
    <row r="227" spans="1:17" ht="19.5">
      <c r="A227" s="115"/>
      <c r="B227" s="115"/>
      <c r="C227" s="115"/>
      <c r="D227" s="115"/>
      <c r="E227" s="115"/>
      <c r="F227" s="115"/>
      <c r="G227" s="115"/>
      <c r="H227" s="115"/>
      <c r="I227" s="115"/>
      <c r="J227" s="115"/>
      <c r="K227" s="115"/>
      <c r="L227" s="115"/>
      <c r="M227" s="115"/>
      <c r="N227" s="115"/>
      <c r="O227" s="115"/>
      <c r="P227" s="115"/>
      <c r="Q227" s="115"/>
    </row>
    <row r="228" spans="1:17" ht="19.5">
      <c r="A228" s="115"/>
      <c r="B228" s="115"/>
      <c r="C228" s="115"/>
      <c r="D228" s="115"/>
      <c r="E228" s="115"/>
      <c r="F228" s="115"/>
      <c r="G228" s="115"/>
      <c r="H228" s="115"/>
      <c r="I228" s="115"/>
      <c r="J228" s="115"/>
      <c r="K228" s="115"/>
      <c r="L228" s="115"/>
      <c r="M228" s="115"/>
      <c r="N228" s="115"/>
      <c r="O228" s="115"/>
      <c r="P228" s="115"/>
      <c r="Q228" s="115"/>
    </row>
    <row r="229" spans="1:17" ht="19.5">
      <c r="A229" s="115"/>
      <c r="B229" s="115"/>
      <c r="C229" s="115"/>
      <c r="D229" s="115"/>
      <c r="E229" s="115"/>
      <c r="F229" s="115"/>
      <c r="G229" s="115"/>
      <c r="H229" s="115"/>
      <c r="I229" s="115"/>
      <c r="J229" s="115"/>
      <c r="K229" s="115"/>
      <c r="L229" s="115"/>
      <c r="M229" s="115"/>
      <c r="N229" s="115"/>
      <c r="O229" s="115"/>
      <c r="P229" s="115"/>
      <c r="Q229" s="115"/>
    </row>
    <row r="230" spans="1:17" ht="19.5">
      <c r="A230" s="115"/>
      <c r="B230" s="115"/>
      <c r="C230" s="115"/>
      <c r="D230" s="115"/>
      <c r="E230" s="115"/>
      <c r="F230" s="115"/>
      <c r="G230" s="115"/>
      <c r="H230" s="115"/>
      <c r="I230" s="115"/>
      <c r="J230" s="115"/>
      <c r="K230" s="115"/>
      <c r="L230" s="115"/>
      <c r="M230" s="115"/>
      <c r="N230" s="115"/>
      <c r="O230" s="115"/>
      <c r="P230" s="115"/>
      <c r="Q230" s="115"/>
    </row>
    <row r="231" spans="1:17" ht="19.5">
      <c r="A231" s="115"/>
      <c r="B231" s="115"/>
      <c r="C231" s="115"/>
      <c r="D231" s="115"/>
      <c r="E231" s="115"/>
      <c r="F231" s="115"/>
      <c r="G231" s="115"/>
      <c r="H231" s="115"/>
      <c r="I231" s="115"/>
      <c r="J231" s="115"/>
      <c r="K231" s="115"/>
      <c r="L231" s="115"/>
      <c r="M231" s="115"/>
      <c r="N231" s="115"/>
      <c r="O231" s="115"/>
      <c r="P231" s="115"/>
      <c r="Q231" s="115"/>
    </row>
    <row r="232" spans="1:17" ht="19.5">
      <c r="A232" s="115"/>
      <c r="B232" s="115"/>
      <c r="C232" s="115"/>
      <c r="D232" s="115"/>
      <c r="E232" s="115"/>
      <c r="F232" s="115"/>
      <c r="G232" s="115"/>
      <c r="H232" s="115"/>
      <c r="I232" s="115"/>
      <c r="J232" s="115"/>
      <c r="K232" s="115"/>
      <c r="L232" s="115"/>
      <c r="M232" s="115"/>
      <c r="N232" s="115"/>
      <c r="O232" s="115"/>
      <c r="P232" s="115"/>
      <c r="Q232" s="115"/>
    </row>
    <row r="233" spans="1:17" ht="19.5">
      <c r="A233" s="115"/>
      <c r="B233" s="115"/>
      <c r="C233" s="115"/>
      <c r="D233" s="115"/>
      <c r="E233" s="115"/>
      <c r="F233" s="115"/>
      <c r="G233" s="115"/>
      <c r="H233" s="115"/>
      <c r="I233" s="115"/>
      <c r="J233" s="115"/>
      <c r="K233" s="115"/>
      <c r="L233" s="115"/>
      <c r="M233" s="115"/>
      <c r="N233" s="115"/>
      <c r="O233" s="115"/>
      <c r="P233" s="115"/>
      <c r="Q233" s="115"/>
    </row>
    <row r="234" spans="1:17" ht="19.5">
      <c r="A234" s="115"/>
      <c r="B234" s="115"/>
      <c r="C234" s="115"/>
      <c r="D234" s="115"/>
      <c r="E234" s="115"/>
      <c r="F234" s="115"/>
      <c r="G234" s="115"/>
      <c r="H234" s="115"/>
      <c r="I234" s="115"/>
      <c r="J234" s="115"/>
      <c r="K234" s="115"/>
      <c r="L234" s="115"/>
      <c r="M234" s="115"/>
      <c r="N234" s="115"/>
      <c r="O234" s="115"/>
      <c r="P234" s="115"/>
      <c r="Q234" s="115"/>
    </row>
    <row r="235" spans="1:17" ht="19.5">
      <c r="A235" s="115"/>
      <c r="B235" s="115"/>
      <c r="C235" s="115"/>
      <c r="D235" s="115"/>
      <c r="E235" s="115"/>
      <c r="F235" s="115"/>
      <c r="G235" s="115"/>
      <c r="H235" s="115"/>
      <c r="I235" s="115"/>
      <c r="J235" s="115"/>
      <c r="K235" s="115"/>
      <c r="L235" s="115"/>
      <c r="M235" s="115"/>
      <c r="N235" s="115"/>
      <c r="O235" s="115"/>
      <c r="P235" s="115"/>
      <c r="Q235" s="115"/>
    </row>
    <row r="236" spans="1:17" ht="19.5">
      <c r="A236" s="115"/>
      <c r="B236" s="115"/>
      <c r="C236" s="115"/>
      <c r="D236" s="115"/>
      <c r="E236" s="115"/>
      <c r="F236" s="115"/>
      <c r="G236" s="115"/>
      <c r="H236" s="115"/>
      <c r="I236" s="115"/>
      <c r="J236" s="115"/>
      <c r="K236" s="115"/>
      <c r="L236" s="115"/>
      <c r="M236" s="115"/>
      <c r="N236" s="115"/>
      <c r="O236" s="115"/>
      <c r="P236" s="115"/>
      <c r="Q236" s="115"/>
    </row>
    <row r="237" spans="1:17" ht="19.5">
      <c r="A237" s="115"/>
      <c r="B237" s="115"/>
      <c r="C237" s="115"/>
      <c r="D237" s="115"/>
      <c r="E237" s="115"/>
      <c r="F237" s="115"/>
      <c r="G237" s="115"/>
      <c r="H237" s="115"/>
      <c r="I237" s="115"/>
      <c r="J237" s="115"/>
      <c r="K237" s="115"/>
      <c r="L237" s="115"/>
      <c r="M237" s="115"/>
      <c r="N237" s="115"/>
      <c r="O237" s="115"/>
      <c r="P237" s="115"/>
      <c r="Q237" s="115"/>
    </row>
    <row r="238" spans="1:17" ht="19.5">
      <c r="A238" s="115"/>
      <c r="B238" s="115"/>
      <c r="C238" s="115"/>
      <c r="D238" s="115"/>
      <c r="E238" s="115"/>
      <c r="F238" s="115"/>
      <c r="G238" s="115"/>
      <c r="H238" s="115"/>
      <c r="I238" s="115"/>
      <c r="J238" s="115"/>
      <c r="K238" s="115"/>
      <c r="L238" s="115"/>
      <c r="M238" s="115"/>
      <c r="N238" s="115"/>
      <c r="O238" s="115"/>
      <c r="P238" s="115"/>
      <c r="Q238" s="115"/>
    </row>
    <row r="239" spans="1:17" ht="19.5">
      <c r="A239" s="115"/>
      <c r="B239" s="115"/>
      <c r="C239" s="115"/>
      <c r="D239" s="115"/>
      <c r="E239" s="115"/>
      <c r="F239" s="115"/>
      <c r="G239" s="115"/>
      <c r="H239" s="115"/>
      <c r="I239" s="115"/>
      <c r="J239" s="115"/>
      <c r="K239" s="115"/>
      <c r="L239" s="115"/>
      <c r="M239" s="115"/>
      <c r="N239" s="115"/>
      <c r="O239" s="115"/>
      <c r="P239" s="115"/>
      <c r="Q239" s="115"/>
    </row>
    <row r="240" spans="1:17" ht="19.5">
      <c r="A240" s="115"/>
      <c r="B240" s="115"/>
      <c r="C240" s="115"/>
      <c r="D240" s="115"/>
      <c r="E240" s="115"/>
      <c r="F240" s="115"/>
      <c r="G240" s="115"/>
      <c r="H240" s="115"/>
      <c r="I240" s="115"/>
      <c r="J240" s="115"/>
      <c r="K240" s="115"/>
      <c r="L240" s="115"/>
      <c r="M240" s="115"/>
      <c r="N240" s="115"/>
      <c r="O240" s="115"/>
      <c r="P240" s="115"/>
      <c r="Q240" s="115"/>
    </row>
    <row r="241" spans="1:17" ht="19.5">
      <c r="A241" s="115"/>
      <c r="B241" s="115"/>
      <c r="C241" s="115"/>
      <c r="D241" s="115"/>
      <c r="E241" s="115"/>
      <c r="F241" s="115"/>
      <c r="G241" s="115"/>
      <c r="H241" s="115"/>
      <c r="I241" s="115"/>
      <c r="J241" s="115"/>
      <c r="K241" s="115"/>
      <c r="L241" s="115"/>
      <c r="M241" s="115"/>
      <c r="N241" s="115"/>
      <c r="O241" s="115"/>
      <c r="P241" s="115"/>
      <c r="Q241" s="115"/>
    </row>
    <row r="242" spans="1:17" ht="19.5">
      <c r="A242" s="115"/>
      <c r="B242" s="115"/>
      <c r="C242" s="115"/>
      <c r="D242" s="115"/>
      <c r="E242" s="115"/>
      <c r="F242" s="115"/>
      <c r="G242" s="115"/>
      <c r="H242" s="115"/>
      <c r="I242" s="115"/>
      <c r="J242" s="115"/>
      <c r="K242" s="115"/>
      <c r="L242" s="115"/>
      <c r="M242" s="115"/>
      <c r="N242" s="115"/>
      <c r="O242" s="115"/>
      <c r="P242" s="115"/>
      <c r="Q242" s="115"/>
    </row>
    <row r="243" spans="1:17" ht="19.5">
      <c r="A243" s="115"/>
      <c r="B243" s="115"/>
      <c r="C243" s="115"/>
      <c r="D243" s="115"/>
      <c r="E243" s="115"/>
      <c r="F243" s="115"/>
      <c r="G243" s="115"/>
      <c r="H243" s="115"/>
      <c r="I243" s="115"/>
      <c r="J243" s="115"/>
      <c r="K243" s="115"/>
      <c r="L243" s="115"/>
      <c r="M243" s="115"/>
      <c r="N243" s="115"/>
      <c r="O243" s="115"/>
      <c r="P243" s="115"/>
      <c r="Q243" s="115"/>
    </row>
    <row r="244" spans="1:17" ht="19.5">
      <c r="A244" s="115"/>
      <c r="B244" s="115"/>
      <c r="C244" s="115"/>
      <c r="D244" s="115"/>
      <c r="E244" s="115"/>
      <c r="F244" s="115"/>
      <c r="G244" s="115"/>
      <c r="H244" s="115"/>
      <c r="I244" s="115"/>
      <c r="J244" s="115"/>
      <c r="K244" s="115"/>
      <c r="L244" s="115"/>
      <c r="M244" s="115"/>
      <c r="N244" s="115"/>
      <c r="O244" s="115"/>
      <c r="P244" s="115"/>
      <c r="Q244" s="115"/>
    </row>
    <row r="245" spans="1:17" ht="19.5">
      <c r="A245" s="115"/>
      <c r="B245" s="115"/>
      <c r="C245" s="115"/>
      <c r="D245" s="115"/>
      <c r="E245" s="115"/>
      <c r="F245" s="115"/>
      <c r="G245" s="115"/>
      <c r="H245" s="115"/>
      <c r="I245" s="115"/>
      <c r="J245" s="115"/>
      <c r="K245" s="115"/>
      <c r="L245" s="115"/>
      <c r="M245" s="115"/>
      <c r="N245" s="115"/>
      <c r="O245" s="115"/>
      <c r="P245" s="115"/>
      <c r="Q245" s="115"/>
    </row>
    <row r="246" spans="1:17" ht="19.5">
      <c r="A246" s="115"/>
      <c r="B246" s="115"/>
      <c r="C246" s="115"/>
      <c r="D246" s="115"/>
      <c r="E246" s="115"/>
      <c r="F246" s="115"/>
      <c r="G246" s="115"/>
      <c r="H246" s="115"/>
      <c r="I246" s="115"/>
      <c r="J246" s="115"/>
      <c r="K246" s="115"/>
      <c r="L246" s="115"/>
      <c r="M246" s="115"/>
      <c r="N246" s="115"/>
      <c r="O246" s="115"/>
      <c r="P246" s="115"/>
      <c r="Q246" s="115"/>
    </row>
    <row r="247" spans="1:17" ht="19.5">
      <c r="A247" s="115"/>
      <c r="B247" s="115"/>
      <c r="C247" s="115"/>
      <c r="D247" s="115"/>
      <c r="E247" s="115"/>
      <c r="F247" s="115"/>
      <c r="G247" s="115"/>
      <c r="H247" s="115"/>
      <c r="I247" s="115"/>
      <c r="J247" s="115"/>
      <c r="K247" s="115"/>
      <c r="L247" s="115"/>
      <c r="M247" s="115"/>
      <c r="N247" s="115"/>
      <c r="O247" s="115"/>
      <c r="P247" s="115"/>
      <c r="Q247" s="115"/>
    </row>
    <row r="248" spans="1:17" ht="19.5">
      <c r="A248" s="115"/>
      <c r="B248" s="115"/>
      <c r="C248" s="115"/>
      <c r="D248" s="115"/>
      <c r="E248" s="115"/>
      <c r="F248" s="115"/>
      <c r="G248" s="115"/>
      <c r="H248" s="115"/>
      <c r="I248" s="115"/>
      <c r="J248" s="115"/>
      <c r="K248" s="115"/>
      <c r="L248" s="115"/>
      <c r="M248" s="115"/>
      <c r="N248" s="115"/>
      <c r="O248" s="115"/>
      <c r="P248" s="115"/>
      <c r="Q248" s="115"/>
    </row>
    <row r="249" spans="1:17" ht="19.5">
      <c r="A249" s="115"/>
      <c r="B249" s="115"/>
      <c r="C249" s="115"/>
      <c r="D249" s="115"/>
      <c r="E249" s="115"/>
      <c r="F249" s="115"/>
      <c r="G249" s="115"/>
      <c r="H249" s="115"/>
      <c r="I249" s="115"/>
      <c r="J249" s="115"/>
      <c r="K249" s="115"/>
      <c r="L249" s="115"/>
      <c r="M249" s="115"/>
      <c r="N249" s="115"/>
      <c r="O249" s="115"/>
      <c r="P249" s="115"/>
      <c r="Q249" s="115"/>
    </row>
    <row r="250" spans="1:17" ht="19.5">
      <c r="A250" s="115"/>
      <c r="B250" s="115"/>
      <c r="C250" s="115"/>
      <c r="D250" s="115"/>
      <c r="E250" s="115"/>
      <c r="F250" s="115"/>
      <c r="G250" s="115"/>
      <c r="H250" s="115"/>
      <c r="I250" s="115"/>
      <c r="J250" s="115"/>
      <c r="K250" s="115"/>
      <c r="L250" s="115"/>
      <c r="M250" s="115"/>
      <c r="N250" s="115"/>
      <c r="O250" s="115"/>
      <c r="P250" s="115"/>
      <c r="Q250" s="115"/>
    </row>
    <row r="251" spans="1:17" ht="19.5">
      <c r="A251" s="115"/>
      <c r="B251" s="115"/>
      <c r="C251" s="115"/>
      <c r="D251" s="115"/>
      <c r="E251" s="115"/>
      <c r="F251" s="115"/>
      <c r="G251" s="115"/>
      <c r="H251" s="115"/>
      <c r="I251" s="115"/>
      <c r="J251" s="115"/>
      <c r="K251" s="115"/>
      <c r="L251" s="115"/>
      <c r="M251" s="115"/>
      <c r="N251" s="115"/>
      <c r="O251" s="115"/>
      <c r="P251" s="115"/>
      <c r="Q251" s="115"/>
    </row>
    <row r="252" spans="1:17" ht="19.5">
      <c r="A252" s="115"/>
      <c r="B252" s="115"/>
      <c r="C252" s="115"/>
      <c r="D252" s="115"/>
      <c r="E252" s="115"/>
      <c r="F252" s="115"/>
      <c r="G252" s="115"/>
      <c r="H252" s="115"/>
      <c r="I252" s="115"/>
      <c r="J252" s="115"/>
      <c r="K252" s="115"/>
      <c r="L252" s="115"/>
      <c r="M252" s="115"/>
      <c r="N252" s="115"/>
      <c r="O252" s="115"/>
      <c r="P252" s="115"/>
      <c r="Q252" s="115"/>
    </row>
    <row r="253" spans="1:17" ht="19.5">
      <c r="A253" s="115"/>
      <c r="B253" s="115"/>
      <c r="C253" s="115"/>
      <c r="D253" s="115"/>
      <c r="E253" s="115"/>
      <c r="F253" s="115"/>
      <c r="G253" s="115"/>
      <c r="H253" s="115"/>
      <c r="I253" s="115"/>
      <c r="J253" s="115"/>
      <c r="K253" s="115"/>
      <c r="L253" s="115"/>
      <c r="M253" s="115"/>
      <c r="N253" s="115"/>
      <c r="O253" s="115"/>
      <c r="P253" s="115"/>
      <c r="Q253" s="115"/>
    </row>
    <row r="254" spans="1:17" ht="19.5">
      <c r="A254" s="115"/>
      <c r="B254" s="115"/>
      <c r="C254" s="115"/>
      <c r="D254" s="115"/>
      <c r="E254" s="115"/>
      <c r="F254" s="115"/>
      <c r="G254" s="115"/>
      <c r="H254" s="115"/>
      <c r="I254" s="115"/>
      <c r="J254" s="115"/>
      <c r="K254" s="115"/>
      <c r="L254" s="115"/>
      <c r="M254" s="115"/>
      <c r="N254" s="115"/>
      <c r="O254" s="115"/>
      <c r="P254" s="115"/>
      <c r="Q254" s="115"/>
    </row>
    <row r="255" spans="1:17" ht="19.5">
      <c r="A255" s="115"/>
      <c r="B255" s="115"/>
      <c r="C255" s="115"/>
      <c r="D255" s="115"/>
      <c r="E255" s="115"/>
      <c r="F255" s="115"/>
      <c r="G255" s="115"/>
      <c r="H255" s="115"/>
      <c r="I255" s="115"/>
      <c r="J255" s="115"/>
      <c r="K255" s="115"/>
      <c r="L255" s="115"/>
      <c r="M255" s="115"/>
      <c r="N255" s="115"/>
      <c r="O255" s="115"/>
      <c r="P255" s="115"/>
      <c r="Q255" s="115"/>
    </row>
    <row r="256" spans="1:17" ht="19.5">
      <c r="A256" s="115"/>
      <c r="B256" s="115"/>
      <c r="C256" s="115"/>
      <c r="D256" s="115"/>
      <c r="E256" s="115"/>
      <c r="F256" s="115"/>
      <c r="G256" s="115"/>
      <c r="H256" s="115"/>
      <c r="I256" s="115"/>
      <c r="J256" s="115"/>
      <c r="K256" s="115"/>
      <c r="L256" s="115"/>
      <c r="M256" s="115"/>
      <c r="N256" s="115"/>
      <c r="O256" s="115"/>
      <c r="P256" s="115"/>
      <c r="Q256" s="115"/>
    </row>
    <row r="257" spans="1:17" ht="19.5">
      <c r="A257" s="115"/>
      <c r="B257" s="115"/>
      <c r="C257" s="115"/>
      <c r="D257" s="115"/>
      <c r="E257" s="115"/>
      <c r="F257" s="115"/>
      <c r="G257" s="115"/>
      <c r="H257" s="115"/>
      <c r="I257" s="115"/>
      <c r="J257" s="115"/>
      <c r="K257" s="115"/>
      <c r="L257" s="115"/>
      <c r="M257" s="115"/>
      <c r="N257" s="115"/>
      <c r="O257" s="115"/>
      <c r="P257" s="115"/>
      <c r="Q257" s="115"/>
    </row>
    <row r="258" spans="1:17" ht="19.5">
      <c r="A258" s="115"/>
      <c r="B258" s="115"/>
      <c r="C258" s="115"/>
      <c r="D258" s="115"/>
      <c r="E258" s="115"/>
      <c r="F258" s="115"/>
      <c r="G258" s="115"/>
      <c r="H258" s="115"/>
      <c r="I258" s="115"/>
      <c r="J258" s="115"/>
      <c r="K258" s="115"/>
      <c r="L258" s="115"/>
      <c r="M258" s="115"/>
      <c r="N258" s="115"/>
      <c r="O258" s="115"/>
      <c r="P258" s="115"/>
      <c r="Q258" s="115"/>
    </row>
    <row r="259" spans="1:17" ht="19.5">
      <c r="A259" s="115"/>
      <c r="B259" s="115"/>
      <c r="C259" s="115"/>
      <c r="D259" s="115"/>
      <c r="E259" s="115"/>
      <c r="F259" s="115"/>
      <c r="G259" s="115"/>
      <c r="H259" s="115"/>
      <c r="I259" s="115"/>
      <c r="J259" s="115"/>
      <c r="K259" s="115"/>
      <c r="L259" s="115"/>
      <c r="M259" s="115"/>
      <c r="N259" s="115"/>
      <c r="O259" s="115"/>
      <c r="P259" s="115"/>
      <c r="Q259" s="115"/>
    </row>
    <row r="260" spans="1:17" ht="19.5">
      <c r="A260" s="115"/>
      <c r="B260" s="115"/>
      <c r="C260" s="115"/>
      <c r="D260" s="115"/>
      <c r="E260" s="115"/>
      <c r="F260" s="115"/>
      <c r="G260" s="115"/>
      <c r="H260" s="115"/>
      <c r="I260" s="115"/>
      <c r="J260" s="115"/>
      <c r="K260" s="115"/>
      <c r="L260" s="115"/>
      <c r="M260" s="115"/>
      <c r="N260" s="115"/>
      <c r="O260" s="115"/>
      <c r="P260" s="115"/>
      <c r="Q260" s="115"/>
    </row>
    <row r="261" spans="1:17" ht="19.5">
      <c r="A261" s="115"/>
      <c r="B261" s="115"/>
      <c r="C261" s="115"/>
      <c r="D261" s="115"/>
      <c r="E261" s="115"/>
      <c r="F261" s="115"/>
      <c r="G261" s="115"/>
      <c r="H261" s="115"/>
      <c r="I261" s="115"/>
      <c r="J261" s="115"/>
      <c r="K261" s="115"/>
      <c r="L261" s="115"/>
      <c r="M261" s="115"/>
      <c r="N261" s="115"/>
      <c r="O261" s="115"/>
      <c r="P261" s="115"/>
      <c r="Q261" s="115"/>
    </row>
    <row r="262" spans="1:17" ht="19.5">
      <c r="A262" s="115"/>
      <c r="B262" s="115"/>
      <c r="C262" s="115"/>
      <c r="D262" s="115"/>
      <c r="E262" s="115"/>
      <c r="F262" s="115"/>
      <c r="G262" s="115"/>
      <c r="H262" s="115"/>
      <c r="I262" s="115"/>
      <c r="J262" s="115"/>
      <c r="K262" s="115"/>
      <c r="L262" s="115"/>
      <c r="M262" s="115"/>
      <c r="N262" s="115"/>
      <c r="O262" s="115"/>
      <c r="P262" s="115"/>
      <c r="Q262" s="115"/>
    </row>
    <row r="263" spans="1:17" ht="19.5">
      <c r="A263" s="115"/>
      <c r="B263" s="115"/>
      <c r="C263" s="115"/>
      <c r="D263" s="115"/>
      <c r="E263" s="115"/>
      <c r="F263" s="115"/>
      <c r="G263" s="115"/>
      <c r="H263" s="115"/>
      <c r="I263" s="115"/>
      <c r="J263" s="115"/>
      <c r="K263" s="115"/>
      <c r="L263" s="115"/>
      <c r="M263" s="115"/>
      <c r="N263" s="115"/>
      <c r="O263" s="115"/>
      <c r="P263" s="115"/>
      <c r="Q263" s="115"/>
    </row>
    <row r="264" spans="1:17" ht="19.5">
      <c r="A264" s="115"/>
      <c r="B264" s="115"/>
      <c r="C264" s="115"/>
      <c r="D264" s="115"/>
      <c r="E264" s="115"/>
      <c r="F264" s="115"/>
      <c r="G264" s="115"/>
      <c r="H264" s="115"/>
      <c r="I264" s="115"/>
      <c r="J264" s="115"/>
      <c r="K264" s="115"/>
      <c r="L264" s="115"/>
      <c r="M264" s="115"/>
      <c r="N264" s="115"/>
      <c r="O264" s="115"/>
      <c r="P264" s="115"/>
      <c r="Q264" s="115"/>
    </row>
    <row r="265" spans="1:17" ht="19.5">
      <c r="A265" s="115"/>
      <c r="B265" s="115"/>
      <c r="C265" s="115"/>
      <c r="D265" s="115"/>
      <c r="E265" s="115"/>
      <c r="F265" s="115"/>
      <c r="G265" s="115"/>
      <c r="H265" s="115"/>
      <c r="I265" s="115"/>
      <c r="J265" s="115"/>
      <c r="K265" s="115"/>
      <c r="L265" s="115"/>
      <c r="M265" s="115"/>
      <c r="N265" s="115"/>
      <c r="O265" s="115"/>
      <c r="P265" s="115"/>
      <c r="Q265" s="115"/>
    </row>
    <row r="266" spans="1:17" ht="19.5">
      <c r="A266" s="115"/>
      <c r="B266" s="115"/>
      <c r="C266" s="115"/>
      <c r="D266" s="115"/>
      <c r="E266" s="115"/>
      <c r="F266" s="115"/>
      <c r="G266" s="115"/>
      <c r="H266" s="115"/>
      <c r="I266" s="115"/>
      <c r="J266" s="115"/>
      <c r="K266" s="115"/>
      <c r="L266" s="115"/>
      <c r="M266" s="115"/>
      <c r="N266" s="115"/>
      <c r="O266" s="115"/>
      <c r="P266" s="115"/>
      <c r="Q266" s="115"/>
    </row>
    <row r="267" spans="1:17" ht="19.5">
      <c r="A267" s="115"/>
      <c r="B267" s="115"/>
      <c r="C267" s="115"/>
      <c r="D267" s="115"/>
      <c r="E267" s="115"/>
      <c r="F267" s="115"/>
      <c r="G267" s="115"/>
      <c r="H267" s="115"/>
      <c r="I267" s="115"/>
      <c r="J267" s="115"/>
      <c r="K267" s="115"/>
      <c r="L267" s="115"/>
      <c r="M267" s="115"/>
      <c r="N267" s="115"/>
      <c r="O267" s="115"/>
      <c r="P267" s="115"/>
      <c r="Q267" s="115"/>
    </row>
    <row r="268" spans="1:17" ht="19.5">
      <c r="A268" s="115"/>
      <c r="B268" s="115"/>
      <c r="C268" s="115"/>
      <c r="D268" s="115"/>
      <c r="E268" s="115"/>
      <c r="F268" s="115"/>
      <c r="G268" s="115"/>
      <c r="H268" s="115"/>
      <c r="I268" s="115"/>
      <c r="J268" s="115"/>
      <c r="K268" s="115"/>
      <c r="L268" s="115"/>
      <c r="M268" s="115"/>
      <c r="N268" s="115"/>
      <c r="O268" s="115"/>
      <c r="P268" s="115"/>
      <c r="Q268" s="115"/>
    </row>
    <row r="269" spans="1:17" ht="19.5">
      <c r="A269" s="115"/>
      <c r="B269" s="115"/>
      <c r="C269" s="115"/>
      <c r="D269" s="115"/>
      <c r="E269" s="115"/>
      <c r="F269" s="115"/>
      <c r="G269" s="115"/>
      <c r="H269" s="115"/>
      <c r="I269" s="115"/>
      <c r="J269" s="115"/>
      <c r="K269" s="115"/>
      <c r="L269" s="115"/>
      <c r="M269" s="115"/>
      <c r="N269" s="115"/>
      <c r="O269" s="115"/>
      <c r="P269" s="115"/>
      <c r="Q269" s="115"/>
    </row>
    <row r="270" spans="1:17" ht="19.5">
      <c r="A270" s="115"/>
      <c r="B270" s="115"/>
      <c r="C270" s="115"/>
      <c r="D270" s="115"/>
      <c r="E270" s="115"/>
      <c r="F270" s="115"/>
      <c r="G270" s="115"/>
      <c r="H270" s="115"/>
      <c r="I270" s="115"/>
      <c r="J270" s="115"/>
      <c r="K270" s="115"/>
      <c r="L270" s="115"/>
      <c r="M270" s="115"/>
      <c r="N270" s="115"/>
      <c r="O270" s="115"/>
      <c r="P270" s="115"/>
      <c r="Q270" s="115"/>
    </row>
    <row r="271" spans="1:17" ht="19.5">
      <c r="A271" s="115"/>
      <c r="B271" s="115"/>
      <c r="C271" s="115"/>
      <c r="D271" s="115"/>
      <c r="E271" s="115"/>
      <c r="F271" s="115"/>
      <c r="G271" s="115"/>
      <c r="H271" s="115"/>
      <c r="I271" s="115"/>
      <c r="J271" s="115"/>
      <c r="K271" s="115"/>
      <c r="L271" s="115"/>
      <c r="M271" s="115"/>
      <c r="N271" s="115"/>
      <c r="O271" s="115"/>
      <c r="P271" s="115"/>
      <c r="Q271" s="115"/>
    </row>
    <row r="272" spans="1:17" ht="19.5">
      <c r="A272" s="115"/>
      <c r="B272" s="115"/>
      <c r="C272" s="115"/>
      <c r="D272" s="115"/>
      <c r="E272" s="115"/>
      <c r="F272" s="115"/>
      <c r="G272" s="115"/>
      <c r="H272" s="115"/>
      <c r="I272" s="115"/>
      <c r="J272" s="115"/>
      <c r="K272" s="115"/>
      <c r="L272" s="115"/>
      <c r="M272" s="115"/>
      <c r="N272" s="115"/>
      <c r="O272" s="115"/>
      <c r="P272" s="115"/>
      <c r="Q272" s="115"/>
    </row>
    <row r="273" spans="1:17" ht="19.5">
      <c r="A273" s="115"/>
      <c r="B273" s="115"/>
      <c r="C273" s="115"/>
      <c r="D273" s="115"/>
      <c r="E273" s="115"/>
      <c r="F273" s="115"/>
      <c r="G273" s="115"/>
      <c r="H273" s="115"/>
      <c r="I273" s="115"/>
      <c r="J273" s="115"/>
      <c r="K273" s="115"/>
      <c r="L273" s="115"/>
      <c r="M273" s="115"/>
      <c r="N273" s="115"/>
      <c r="O273" s="115"/>
      <c r="P273" s="115"/>
      <c r="Q273" s="115"/>
    </row>
    <row r="274" spans="1:17" ht="19.5">
      <c r="A274" s="115"/>
      <c r="B274" s="115"/>
      <c r="C274" s="115"/>
      <c r="D274" s="115"/>
      <c r="E274" s="115"/>
      <c r="F274" s="115"/>
      <c r="G274" s="115"/>
      <c r="H274" s="115"/>
      <c r="I274" s="115"/>
      <c r="J274" s="115"/>
      <c r="K274" s="115"/>
      <c r="L274" s="115"/>
      <c r="M274" s="115"/>
      <c r="N274" s="115"/>
      <c r="O274" s="115"/>
      <c r="P274" s="115"/>
      <c r="Q274" s="115"/>
    </row>
    <row r="275" spans="1:17" ht="19.5">
      <c r="A275" s="115"/>
      <c r="B275" s="115"/>
      <c r="C275" s="115"/>
      <c r="D275" s="115"/>
      <c r="E275" s="115"/>
      <c r="F275" s="115"/>
      <c r="G275" s="115"/>
      <c r="H275" s="115"/>
      <c r="I275" s="115"/>
      <c r="J275" s="115"/>
      <c r="K275" s="115"/>
      <c r="L275" s="115"/>
      <c r="M275" s="115"/>
      <c r="N275" s="115"/>
      <c r="O275" s="115"/>
      <c r="P275" s="115"/>
      <c r="Q275" s="115"/>
    </row>
    <row r="276" spans="1:17" ht="19.5">
      <c r="A276" s="115"/>
      <c r="B276" s="115"/>
      <c r="C276" s="115"/>
      <c r="D276" s="115"/>
      <c r="E276" s="115"/>
      <c r="F276" s="115"/>
      <c r="G276" s="115"/>
      <c r="H276" s="115"/>
      <c r="I276" s="115"/>
      <c r="J276" s="115"/>
      <c r="K276" s="115"/>
      <c r="L276" s="115"/>
      <c r="M276" s="115"/>
      <c r="N276" s="115"/>
      <c r="O276" s="115"/>
      <c r="P276" s="115"/>
      <c r="Q276" s="115"/>
    </row>
    <row r="277" spans="1:17" ht="19.5">
      <c r="A277" s="115"/>
      <c r="B277" s="115"/>
      <c r="C277" s="115"/>
      <c r="D277" s="115"/>
      <c r="E277" s="115"/>
      <c r="F277" s="115"/>
      <c r="G277" s="115"/>
      <c r="H277" s="115"/>
      <c r="I277" s="115"/>
      <c r="J277" s="115"/>
      <c r="K277" s="115"/>
      <c r="L277" s="115"/>
      <c r="M277" s="115"/>
      <c r="N277" s="115"/>
      <c r="O277" s="115"/>
      <c r="P277" s="115"/>
      <c r="Q277" s="115"/>
    </row>
    <row r="278" spans="1:17" ht="19.5">
      <c r="A278" s="115"/>
      <c r="B278" s="115"/>
      <c r="C278" s="115"/>
      <c r="D278" s="115"/>
      <c r="E278" s="115"/>
      <c r="F278" s="115"/>
      <c r="G278" s="115"/>
      <c r="H278" s="115"/>
      <c r="I278" s="115"/>
      <c r="J278" s="115"/>
      <c r="K278" s="115"/>
      <c r="L278" s="115"/>
      <c r="M278" s="115"/>
      <c r="N278" s="115"/>
      <c r="O278" s="115"/>
      <c r="P278" s="115"/>
      <c r="Q278" s="115"/>
    </row>
    <row r="279" spans="1:17" ht="19.5">
      <c r="A279" s="115"/>
      <c r="B279" s="115"/>
      <c r="C279" s="115"/>
      <c r="D279" s="115"/>
      <c r="E279" s="115"/>
      <c r="F279" s="115"/>
      <c r="G279" s="115"/>
      <c r="H279" s="115"/>
      <c r="I279" s="115"/>
      <c r="J279" s="115"/>
      <c r="K279" s="115"/>
      <c r="L279" s="115"/>
      <c r="M279" s="115"/>
      <c r="N279" s="115"/>
      <c r="O279" s="115"/>
      <c r="P279" s="115"/>
      <c r="Q279" s="115"/>
    </row>
    <row r="280" spans="1:17" ht="19.5">
      <c r="A280" s="115"/>
      <c r="B280" s="115"/>
      <c r="C280" s="115"/>
      <c r="D280" s="115"/>
      <c r="E280" s="115"/>
      <c r="F280" s="115"/>
      <c r="G280" s="115"/>
      <c r="H280" s="115"/>
      <c r="I280" s="115"/>
      <c r="J280" s="115"/>
      <c r="K280" s="115"/>
      <c r="L280" s="115"/>
      <c r="M280" s="115"/>
      <c r="N280" s="115"/>
      <c r="O280" s="115"/>
      <c r="P280" s="115"/>
      <c r="Q280" s="115"/>
    </row>
    <row r="281" spans="1:17" ht="19.5">
      <c r="A281" s="115"/>
      <c r="B281" s="115"/>
      <c r="C281" s="115"/>
      <c r="D281" s="115"/>
      <c r="E281" s="115"/>
      <c r="F281" s="115"/>
      <c r="G281" s="115"/>
      <c r="H281" s="115"/>
      <c r="I281" s="115"/>
      <c r="J281" s="115"/>
      <c r="K281" s="115"/>
      <c r="L281" s="115"/>
      <c r="M281" s="115"/>
      <c r="N281" s="115"/>
      <c r="O281" s="115"/>
      <c r="P281" s="115"/>
      <c r="Q281" s="115"/>
    </row>
    <row r="282" spans="1:17" ht="19.5">
      <c r="A282" s="115"/>
      <c r="B282" s="115"/>
      <c r="C282" s="115"/>
      <c r="D282" s="115"/>
      <c r="E282" s="115"/>
      <c r="F282" s="115"/>
      <c r="G282" s="115"/>
      <c r="H282" s="115"/>
      <c r="I282" s="115"/>
      <c r="J282" s="115"/>
      <c r="K282" s="115"/>
      <c r="L282" s="115"/>
      <c r="M282" s="115"/>
      <c r="N282" s="115"/>
      <c r="O282" s="115"/>
      <c r="P282" s="115"/>
      <c r="Q282" s="115"/>
    </row>
    <row r="283" spans="1:17" ht="19.5">
      <c r="A283" s="115"/>
      <c r="B283" s="115"/>
      <c r="C283" s="115"/>
      <c r="D283" s="115"/>
      <c r="E283" s="115"/>
      <c r="F283" s="115"/>
      <c r="G283" s="115"/>
      <c r="H283" s="115"/>
      <c r="I283" s="115"/>
      <c r="J283" s="115"/>
      <c r="K283" s="115"/>
      <c r="L283" s="115"/>
      <c r="M283" s="115"/>
      <c r="N283" s="115"/>
      <c r="O283" s="115"/>
      <c r="P283" s="115"/>
      <c r="Q283" s="115"/>
    </row>
    <row r="284" spans="1:17" ht="19.5">
      <c r="A284" s="115"/>
      <c r="B284" s="115"/>
      <c r="C284" s="115"/>
      <c r="D284" s="115"/>
      <c r="E284" s="115"/>
      <c r="F284" s="115"/>
      <c r="G284" s="115"/>
      <c r="H284" s="115"/>
      <c r="I284" s="115"/>
      <c r="J284" s="115"/>
      <c r="K284" s="115"/>
      <c r="L284" s="115"/>
      <c r="M284" s="115"/>
      <c r="N284" s="115"/>
      <c r="O284" s="115"/>
      <c r="P284" s="115"/>
      <c r="Q284" s="115"/>
    </row>
    <row r="285" spans="1:17" ht="19.5">
      <c r="A285" s="115"/>
      <c r="B285" s="115"/>
      <c r="C285" s="115"/>
      <c r="D285" s="115"/>
      <c r="E285" s="115"/>
      <c r="F285" s="115"/>
      <c r="G285" s="115"/>
      <c r="H285" s="115"/>
      <c r="I285" s="115"/>
      <c r="J285" s="115"/>
      <c r="K285" s="115"/>
      <c r="L285" s="115"/>
      <c r="M285" s="115"/>
      <c r="N285" s="115"/>
      <c r="O285" s="115"/>
      <c r="P285" s="115"/>
      <c r="Q285" s="115"/>
    </row>
    <row r="286" spans="1:17" ht="19.5">
      <c r="A286" s="115"/>
      <c r="B286" s="115"/>
      <c r="C286" s="115"/>
      <c r="D286" s="115"/>
      <c r="E286" s="115"/>
      <c r="F286" s="115"/>
      <c r="G286" s="115"/>
      <c r="H286" s="115"/>
      <c r="I286" s="115"/>
      <c r="J286" s="115"/>
      <c r="K286" s="115"/>
      <c r="L286" s="115"/>
      <c r="M286" s="115"/>
      <c r="N286" s="115"/>
      <c r="O286" s="115"/>
      <c r="P286" s="115"/>
      <c r="Q286" s="115"/>
    </row>
    <row r="287" spans="1:17" ht="19.5">
      <c r="A287" s="115"/>
      <c r="B287" s="115"/>
      <c r="C287" s="115"/>
      <c r="D287" s="115"/>
      <c r="E287" s="115"/>
      <c r="F287" s="115"/>
      <c r="G287" s="115"/>
      <c r="H287" s="115"/>
      <c r="I287" s="115"/>
      <c r="J287" s="115"/>
      <c r="K287" s="115"/>
      <c r="L287" s="115"/>
      <c r="M287" s="115"/>
      <c r="N287" s="115"/>
      <c r="O287" s="115"/>
      <c r="P287" s="115"/>
      <c r="Q287" s="115"/>
    </row>
    <row r="288" spans="1:17" ht="19.5">
      <c r="A288" s="115"/>
      <c r="B288" s="115"/>
      <c r="C288" s="115"/>
      <c r="D288" s="115"/>
      <c r="E288" s="115"/>
      <c r="F288" s="115"/>
      <c r="G288" s="115"/>
      <c r="H288" s="115"/>
      <c r="I288" s="115"/>
      <c r="J288" s="115"/>
      <c r="K288" s="115"/>
      <c r="L288" s="115"/>
      <c r="M288" s="115"/>
      <c r="N288" s="115"/>
      <c r="O288" s="115"/>
      <c r="P288" s="115"/>
      <c r="Q288" s="115"/>
    </row>
    <row r="289" spans="1:17" ht="19.5">
      <c r="A289" s="115"/>
      <c r="B289" s="115"/>
      <c r="C289" s="115"/>
      <c r="D289" s="115"/>
      <c r="E289" s="115"/>
      <c r="F289" s="115"/>
      <c r="G289" s="115"/>
      <c r="H289" s="115"/>
      <c r="I289" s="115"/>
      <c r="J289" s="115"/>
      <c r="K289" s="115"/>
      <c r="L289" s="115"/>
      <c r="M289" s="115"/>
      <c r="N289" s="115"/>
      <c r="O289" s="115"/>
      <c r="P289" s="115"/>
      <c r="Q289" s="115"/>
    </row>
    <row r="290" spans="1:17" ht="19.5">
      <c r="A290" s="115"/>
      <c r="B290" s="115"/>
      <c r="C290" s="115"/>
      <c r="D290" s="115"/>
      <c r="E290" s="115"/>
      <c r="F290" s="115"/>
      <c r="G290" s="115"/>
      <c r="H290" s="115"/>
      <c r="I290" s="115"/>
      <c r="J290" s="115"/>
      <c r="K290" s="115"/>
      <c r="L290" s="115"/>
      <c r="M290" s="115"/>
      <c r="N290" s="115"/>
      <c r="O290" s="115"/>
      <c r="P290" s="115"/>
      <c r="Q290" s="115"/>
    </row>
    <row r="291" spans="1:17" ht="19.5">
      <c r="A291" s="115"/>
      <c r="B291" s="115"/>
      <c r="C291" s="115"/>
      <c r="D291" s="115"/>
      <c r="E291" s="115"/>
      <c r="F291" s="115"/>
      <c r="G291" s="115"/>
      <c r="H291" s="115"/>
      <c r="I291" s="115"/>
      <c r="J291" s="115"/>
      <c r="K291" s="115"/>
      <c r="L291" s="115"/>
      <c r="M291" s="115"/>
      <c r="N291" s="115"/>
      <c r="O291" s="115"/>
      <c r="P291" s="115"/>
      <c r="Q291" s="115"/>
    </row>
    <row r="292" spans="1:17" ht="19.5">
      <c r="A292" s="115"/>
      <c r="B292" s="115"/>
      <c r="C292" s="115"/>
      <c r="D292" s="115"/>
      <c r="E292" s="115"/>
      <c r="F292" s="115"/>
      <c r="G292" s="115"/>
      <c r="H292" s="115"/>
      <c r="I292" s="115"/>
      <c r="J292" s="115"/>
      <c r="K292" s="115"/>
      <c r="L292" s="115"/>
      <c r="M292" s="115"/>
      <c r="N292" s="115"/>
      <c r="O292" s="115"/>
      <c r="P292" s="115"/>
      <c r="Q292" s="115"/>
    </row>
    <row r="293" spans="1:17" ht="19.5">
      <c r="A293" s="115"/>
      <c r="B293" s="115"/>
      <c r="C293" s="115"/>
      <c r="D293" s="115"/>
      <c r="E293" s="115"/>
      <c r="F293" s="115"/>
      <c r="G293" s="115"/>
      <c r="H293" s="115"/>
      <c r="I293" s="115"/>
      <c r="J293" s="115"/>
      <c r="K293" s="115"/>
      <c r="L293" s="115"/>
      <c r="M293" s="115"/>
      <c r="N293" s="115"/>
      <c r="O293" s="115"/>
      <c r="P293" s="115"/>
      <c r="Q293" s="115"/>
    </row>
    <row r="294" spans="1:17" ht="19.5">
      <c r="A294" s="115"/>
      <c r="B294" s="115"/>
      <c r="C294" s="115"/>
      <c r="D294" s="115"/>
      <c r="E294" s="115"/>
      <c r="F294" s="115"/>
      <c r="G294" s="115"/>
      <c r="H294" s="115"/>
      <c r="I294" s="115"/>
      <c r="J294" s="115"/>
      <c r="K294" s="115"/>
      <c r="L294" s="115"/>
      <c r="M294" s="115"/>
      <c r="N294" s="115"/>
      <c r="O294" s="115"/>
      <c r="P294" s="115"/>
      <c r="Q294" s="115"/>
    </row>
    <row r="295" spans="1:17" ht="19.5">
      <c r="A295" s="115"/>
      <c r="B295" s="115"/>
      <c r="C295" s="115"/>
      <c r="D295" s="115"/>
      <c r="E295" s="115"/>
      <c r="F295" s="115"/>
      <c r="G295" s="115"/>
      <c r="H295" s="115"/>
      <c r="I295" s="115"/>
      <c r="J295" s="115"/>
      <c r="K295" s="115"/>
      <c r="L295" s="115"/>
      <c r="M295" s="115"/>
      <c r="N295" s="115"/>
      <c r="O295" s="115"/>
      <c r="P295" s="115"/>
      <c r="Q295" s="115"/>
    </row>
    <row r="296" spans="1:17" ht="19.5">
      <c r="A296" s="115"/>
      <c r="B296" s="115"/>
      <c r="C296" s="115"/>
      <c r="D296" s="115"/>
      <c r="E296" s="115"/>
      <c r="F296" s="115"/>
      <c r="G296" s="115"/>
      <c r="H296" s="115"/>
      <c r="I296" s="115"/>
      <c r="J296" s="115"/>
      <c r="K296" s="115"/>
      <c r="L296" s="115"/>
      <c r="M296" s="115"/>
      <c r="N296" s="115"/>
      <c r="O296" s="115"/>
      <c r="P296" s="115"/>
      <c r="Q296" s="115"/>
    </row>
    <row r="297" spans="1:17" ht="19.5">
      <c r="A297" s="115"/>
      <c r="B297" s="115"/>
      <c r="C297" s="115"/>
      <c r="D297" s="115"/>
      <c r="E297" s="115"/>
      <c r="F297" s="115"/>
      <c r="G297" s="115"/>
      <c r="H297" s="115"/>
      <c r="I297" s="115"/>
      <c r="J297" s="115"/>
      <c r="K297" s="115"/>
      <c r="L297" s="115"/>
      <c r="M297" s="115"/>
      <c r="N297" s="115"/>
      <c r="O297" s="115"/>
      <c r="P297" s="115"/>
      <c r="Q297" s="115"/>
    </row>
    <row r="298" spans="1:17" ht="19.5">
      <c r="A298" s="115"/>
      <c r="B298" s="115"/>
      <c r="C298" s="115"/>
      <c r="D298" s="115"/>
      <c r="E298" s="115"/>
      <c r="F298" s="115"/>
      <c r="G298" s="115"/>
      <c r="H298" s="115"/>
      <c r="I298" s="115"/>
      <c r="J298" s="115"/>
      <c r="K298" s="115"/>
      <c r="L298" s="115"/>
      <c r="M298" s="115"/>
      <c r="N298" s="115"/>
      <c r="O298" s="115"/>
      <c r="P298" s="115"/>
      <c r="Q298" s="115"/>
    </row>
    <row r="299" spans="1:17" ht="19.5">
      <c r="A299" s="115"/>
      <c r="B299" s="115"/>
      <c r="C299" s="115"/>
      <c r="D299" s="115"/>
      <c r="E299" s="115"/>
      <c r="F299" s="115"/>
      <c r="G299" s="115"/>
      <c r="H299" s="115"/>
      <c r="I299" s="115"/>
      <c r="J299" s="115"/>
      <c r="K299" s="115"/>
      <c r="L299" s="115"/>
      <c r="M299" s="115"/>
      <c r="N299" s="115"/>
      <c r="O299" s="115"/>
      <c r="P299" s="115"/>
      <c r="Q299" s="115"/>
    </row>
    <row r="300" spans="1:17" ht="19.5">
      <c r="A300" s="115"/>
      <c r="B300" s="115"/>
      <c r="C300" s="115"/>
      <c r="D300" s="115"/>
      <c r="E300" s="115"/>
      <c r="F300" s="115"/>
      <c r="G300" s="115"/>
      <c r="H300" s="115"/>
      <c r="I300" s="115"/>
      <c r="J300" s="115"/>
      <c r="K300" s="115"/>
      <c r="L300" s="115"/>
      <c r="M300" s="115"/>
      <c r="N300" s="115"/>
      <c r="O300" s="115"/>
      <c r="P300" s="115"/>
      <c r="Q300" s="115"/>
    </row>
    <row r="301" spans="1:17" ht="19.5">
      <c r="A301" s="115"/>
      <c r="B301" s="115"/>
      <c r="C301" s="115"/>
      <c r="D301" s="115"/>
      <c r="E301" s="115"/>
      <c r="F301" s="115"/>
      <c r="G301" s="115"/>
      <c r="H301" s="115"/>
      <c r="I301" s="115"/>
      <c r="J301" s="115"/>
      <c r="K301" s="115"/>
      <c r="L301" s="115"/>
      <c r="M301" s="115"/>
      <c r="N301" s="115"/>
      <c r="O301" s="115"/>
      <c r="P301" s="115"/>
      <c r="Q301" s="115"/>
    </row>
    <row r="302" spans="1:17" ht="19.5">
      <c r="A302" s="115"/>
      <c r="B302" s="115"/>
      <c r="C302" s="115"/>
      <c r="D302" s="115"/>
      <c r="E302" s="115"/>
      <c r="F302" s="115"/>
      <c r="G302" s="115"/>
      <c r="H302" s="115"/>
      <c r="I302" s="115"/>
      <c r="J302" s="115"/>
      <c r="K302" s="115"/>
      <c r="L302" s="115"/>
      <c r="M302" s="115"/>
      <c r="N302" s="115"/>
      <c r="O302" s="115"/>
      <c r="P302" s="115"/>
      <c r="Q302" s="115"/>
    </row>
    <row r="303" spans="1:17" ht="19.5">
      <c r="A303" s="115"/>
      <c r="B303" s="115"/>
      <c r="C303" s="115"/>
      <c r="D303" s="115"/>
      <c r="E303" s="115"/>
      <c r="F303" s="115"/>
      <c r="G303" s="115"/>
      <c r="H303" s="115"/>
      <c r="I303" s="115"/>
      <c r="J303" s="115"/>
      <c r="K303" s="115"/>
      <c r="L303" s="115"/>
      <c r="M303" s="115"/>
      <c r="N303" s="115"/>
      <c r="O303" s="115"/>
      <c r="P303" s="115"/>
      <c r="Q303" s="115"/>
    </row>
    <row r="304" spans="1:17" ht="19.5">
      <c r="A304" s="115"/>
      <c r="B304" s="115"/>
      <c r="C304" s="115"/>
      <c r="D304" s="115"/>
      <c r="E304" s="115"/>
      <c r="F304" s="115"/>
      <c r="G304" s="115"/>
      <c r="H304" s="115"/>
      <c r="I304" s="115"/>
      <c r="J304" s="115"/>
      <c r="K304" s="115"/>
      <c r="L304" s="115"/>
      <c r="M304" s="115"/>
      <c r="N304" s="115"/>
      <c r="O304" s="115"/>
      <c r="P304" s="115"/>
      <c r="Q304" s="115"/>
    </row>
    <row r="305" spans="1:17" ht="19.5">
      <c r="A305" s="115"/>
      <c r="B305" s="115"/>
      <c r="C305" s="115"/>
      <c r="D305" s="115"/>
      <c r="E305" s="115"/>
      <c r="F305" s="115"/>
      <c r="G305" s="115"/>
      <c r="H305" s="115"/>
      <c r="I305" s="115"/>
      <c r="J305" s="115"/>
      <c r="K305" s="115"/>
      <c r="L305" s="115"/>
      <c r="M305" s="115"/>
      <c r="N305" s="115"/>
      <c r="O305" s="115"/>
      <c r="P305" s="115"/>
      <c r="Q305" s="115"/>
    </row>
    <row r="306" spans="1:17" ht="19.5">
      <c r="A306" s="115"/>
      <c r="B306" s="115"/>
      <c r="C306" s="115"/>
      <c r="D306" s="115"/>
      <c r="E306" s="115"/>
      <c r="F306" s="115"/>
      <c r="G306" s="115"/>
      <c r="H306" s="115"/>
      <c r="I306" s="115"/>
      <c r="J306" s="115"/>
      <c r="K306" s="115"/>
      <c r="L306" s="115"/>
      <c r="M306" s="115"/>
      <c r="N306" s="115"/>
      <c r="O306" s="115"/>
      <c r="P306" s="115"/>
      <c r="Q306" s="115"/>
    </row>
    <row r="307" spans="1:17" ht="19.5">
      <c r="A307" s="115"/>
      <c r="B307" s="115"/>
      <c r="C307" s="115"/>
      <c r="D307" s="115"/>
      <c r="E307" s="115"/>
      <c r="F307" s="115"/>
      <c r="G307" s="115"/>
      <c r="H307" s="115"/>
      <c r="I307" s="115"/>
      <c r="J307" s="115"/>
      <c r="K307" s="115"/>
      <c r="L307" s="115"/>
      <c r="M307" s="115"/>
      <c r="N307" s="115"/>
      <c r="O307" s="115"/>
      <c r="P307" s="115"/>
      <c r="Q307" s="115"/>
    </row>
    <row r="308" spans="1:17" ht="19.5">
      <c r="A308" s="115"/>
      <c r="B308" s="115"/>
      <c r="C308" s="115"/>
      <c r="D308" s="115"/>
      <c r="E308" s="115"/>
      <c r="F308" s="115"/>
      <c r="G308" s="115"/>
      <c r="H308" s="115"/>
      <c r="I308" s="115"/>
      <c r="J308" s="115"/>
      <c r="K308" s="115"/>
      <c r="L308" s="115"/>
      <c r="M308" s="115"/>
      <c r="N308" s="115"/>
      <c r="O308" s="115"/>
      <c r="P308" s="115"/>
      <c r="Q308" s="115"/>
    </row>
    <row r="309" spans="1:17" ht="19.5">
      <c r="A309" s="115"/>
      <c r="B309" s="115"/>
      <c r="C309" s="115"/>
      <c r="D309" s="115"/>
      <c r="E309" s="115"/>
      <c r="F309" s="115"/>
      <c r="G309" s="115"/>
      <c r="H309" s="115"/>
      <c r="I309" s="115"/>
      <c r="J309" s="115"/>
      <c r="K309" s="115"/>
      <c r="L309" s="115"/>
      <c r="M309" s="115"/>
      <c r="N309" s="115"/>
      <c r="O309" s="115"/>
      <c r="P309" s="115"/>
      <c r="Q309" s="115"/>
    </row>
    <row r="310" spans="1:17" ht="19.5">
      <c r="A310" s="115"/>
      <c r="B310" s="115"/>
      <c r="C310" s="115"/>
      <c r="D310" s="115"/>
      <c r="E310" s="115"/>
      <c r="F310" s="115"/>
      <c r="G310" s="115"/>
      <c r="H310" s="115"/>
      <c r="I310" s="115"/>
      <c r="J310" s="115"/>
      <c r="K310" s="115"/>
      <c r="L310" s="115"/>
      <c r="M310" s="115"/>
      <c r="N310" s="115"/>
      <c r="O310" s="115"/>
      <c r="P310" s="115"/>
      <c r="Q310" s="115"/>
    </row>
    <row r="311" spans="1:17" ht="19.5">
      <c r="A311" s="115"/>
      <c r="B311" s="115"/>
      <c r="C311" s="115"/>
      <c r="D311" s="115"/>
      <c r="E311" s="115"/>
      <c r="F311" s="115"/>
      <c r="G311" s="115"/>
      <c r="H311" s="115"/>
      <c r="I311" s="115"/>
      <c r="J311" s="115"/>
      <c r="K311" s="115"/>
      <c r="L311" s="115"/>
      <c r="M311" s="115"/>
      <c r="N311" s="115"/>
      <c r="O311" s="115"/>
      <c r="P311" s="115"/>
      <c r="Q311" s="115"/>
    </row>
    <row r="312" spans="1:17" ht="19.5">
      <c r="A312" s="115"/>
      <c r="B312" s="115"/>
      <c r="C312" s="115"/>
      <c r="D312" s="115"/>
      <c r="E312" s="115"/>
      <c r="F312" s="115"/>
      <c r="G312" s="115"/>
      <c r="H312" s="115"/>
      <c r="I312" s="115"/>
      <c r="J312" s="115"/>
      <c r="K312" s="115"/>
      <c r="L312" s="115"/>
      <c r="M312" s="115"/>
      <c r="N312" s="115"/>
      <c r="O312" s="115"/>
      <c r="P312" s="115"/>
      <c r="Q312" s="115"/>
    </row>
    <row r="313" spans="1:17" ht="19.5">
      <c r="A313" s="115"/>
      <c r="B313" s="115"/>
      <c r="C313" s="115"/>
      <c r="D313" s="115"/>
      <c r="E313" s="115"/>
      <c r="F313" s="115"/>
      <c r="G313" s="115"/>
      <c r="H313" s="115"/>
      <c r="I313" s="115"/>
      <c r="J313" s="115"/>
      <c r="K313" s="115"/>
      <c r="L313" s="115"/>
      <c r="M313" s="115"/>
      <c r="N313" s="115"/>
      <c r="O313" s="115"/>
      <c r="P313" s="115"/>
      <c r="Q313" s="115"/>
    </row>
    <row r="314" spans="1:17" ht="19.5">
      <c r="A314" s="115"/>
      <c r="B314" s="115"/>
      <c r="C314" s="115"/>
      <c r="D314" s="115"/>
      <c r="E314" s="115"/>
      <c r="F314" s="115"/>
      <c r="G314" s="115"/>
      <c r="H314" s="115"/>
      <c r="I314" s="115"/>
      <c r="J314" s="115"/>
      <c r="K314" s="115"/>
      <c r="L314" s="115"/>
      <c r="M314" s="115"/>
      <c r="N314" s="115"/>
      <c r="O314" s="115"/>
      <c r="P314" s="115"/>
      <c r="Q314" s="115"/>
    </row>
    <row r="315" spans="1:17" ht="19.5">
      <c r="A315" s="115"/>
      <c r="B315" s="115"/>
      <c r="C315" s="115"/>
      <c r="D315" s="115"/>
      <c r="E315" s="115"/>
      <c r="F315" s="115"/>
      <c r="G315" s="115"/>
      <c r="H315" s="115"/>
      <c r="I315" s="115"/>
      <c r="J315" s="115"/>
      <c r="K315" s="115"/>
      <c r="L315" s="115"/>
      <c r="M315" s="115"/>
      <c r="N315" s="115"/>
      <c r="O315" s="115"/>
      <c r="P315" s="115"/>
      <c r="Q315" s="115"/>
    </row>
    <row r="316" spans="1:17" ht="19.5">
      <c r="A316" s="115"/>
      <c r="B316" s="115"/>
      <c r="C316" s="115"/>
      <c r="D316" s="115"/>
      <c r="E316" s="115"/>
      <c r="F316" s="115"/>
      <c r="G316" s="115"/>
      <c r="H316" s="115"/>
      <c r="I316" s="115"/>
      <c r="J316" s="115"/>
      <c r="K316" s="115"/>
      <c r="L316" s="115"/>
      <c r="M316" s="115"/>
      <c r="N316" s="115"/>
      <c r="O316" s="115"/>
      <c r="P316" s="115"/>
      <c r="Q316" s="115"/>
    </row>
    <row r="317" spans="1:17" ht="19.5">
      <c r="A317" s="115"/>
      <c r="B317" s="115"/>
      <c r="C317" s="115"/>
      <c r="D317" s="115"/>
      <c r="E317" s="115"/>
      <c r="F317" s="115"/>
      <c r="G317" s="115"/>
      <c r="H317" s="115"/>
      <c r="I317" s="115"/>
      <c r="J317" s="115"/>
      <c r="K317" s="115"/>
      <c r="L317" s="115"/>
      <c r="M317" s="115"/>
      <c r="N317" s="115"/>
      <c r="O317" s="115"/>
      <c r="P317" s="115"/>
      <c r="Q317" s="115"/>
    </row>
    <row r="318" spans="1:17" ht="19.5">
      <c r="A318" s="115"/>
      <c r="B318" s="115"/>
      <c r="C318" s="115"/>
      <c r="D318" s="115"/>
      <c r="E318" s="115"/>
      <c r="F318" s="115"/>
      <c r="G318" s="115"/>
      <c r="H318" s="115"/>
      <c r="I318" s="115"/>
      <c r="J318" s="115"/>
      <c r="K318" s="115"/>
      <c r="L318" s="115"/>
      <c r="M318" s="115"/>
      <c r="N318" s="115"/>
      <c r="O318" s="115"/>
      <c r="P318" s="115"/>
      <c r="Q318" s="115"/>
    </row>
    <row r="319" spans="1:17" ht="19.5">
      <c r="A319" s="115"/>
      <c r="B319" s="115"/>
      <c r="C319" s="115"/>
      <c r="D319" s="115"/>
      <c r="E319" s="115"/>
      <c r="F319" s="115"/>
      <c r="G319" s="115"/>
      <c r="H319" s="115"/>
      <c r="I319" s="115"/>
      <c r="J319" s="115"/>
      <c r="K319" s="115"/>
      <c r="L319" s="115"/>
      <c r="M319" s="115"/>
      <c r="N319" s="115"/>
      <c r="O319" s="115"/>
      <c r="P319" s="115"/>
      <c r="Q319" s="115"/>
    </row>
    <row r="320" spans="1:17" ht="19.5">
      <c r="A320" s="115"/>
      <c r="B320" s="115"/>
      <c r="C320" s="115"/>
      <c r="D320" s="115"/>
      <c r="E320" s="115"/>
      <c r="F320" s="115"/>
      <c r="G320" s="115"/>
      <c r="H320" s="115"/>
      <c r="I320" s="115"/>
      <c r="J320" s="115"/>
      <c r="K320" s="115"/>
      <c r="L320" s="115"/>
      <c r="M320" s="115"/>
      <c r="N320" s="115"/>
      <c r="O320" s="115"/>
      <c r="P320" s="115"/>
      <c r="Q320" s="115"/>
    </row>
    <row r="321" spans="1:17" ht="19.5">
      <c r="A321" s="115"/>
      <c r="B321" s="115"/>
      <c r="C321" s="115"/>
      <c r="D321" s="115"/>
      <c r="E321" s="115"/>
      <c r="F321" s="115"/>
      <c r="G321" s="115"/>
      <c r="H321" s="115"/>
      <c r="I321" s="115"/>
      <c r="J321" s="115"/>
      <c r="K321" s="115"/>
      <c r="L321" s="115"/>
      <c r="M321" s="115"/>
      <c r="N321" s="115"/>
      <c r="O321" s="115"/>
      <c r="P321" s="115"/>
      <c r="Q321" s="115"/>
    </row>
    <row r="322" spans="1:17" ht="19.5">
      <c r="A322" s="115"/>
      <c r="B322" s="115"/>
      <c r="C322" s="115"/>
      <c r="D322" s="115"/>
      <c r="E322" s="115"/>
      <c r="F322" s="115"/>
      <c r="G322" s="115"/>
      <c r="H322" s="115"/>
      <c r="I322" s="115"/>
      <c r="J322" s="115"/>
      <c r="K322" s="115"/>
      <c r="L322" s="115"/>
      <c r="M322" s="115"/>
      <c r="N322" s="115"/>
      <c r="O322" s="115"/>
      <c r="P322" s="115"/>
      <c r="Q322" s="115"/>
    </row>
    <row r="323" spans="1:17" ht="19.5">
      <c r="A323" s="115"/>
      <c r="B323" s="115"/>
      <c r="C323" s="115"/>
      <c r="D323" s="115"/>
      <c r="E323" s="115"/>
      <c r="F323" s="115"/>
      <c r="G323" s="115"/>
      <c r="H323" s="115"/>
      <c r="I323" s="115"/>
      <c r="J323" s="115"/>
      <c r="K323" s="115"/>
      <c r="L323" s="115"/>
      <c r="M323" s="115"/>
      <c r="N323" s="115"/>
      <c r="O323" s="115"/>
      <c r="P323" s="115"/>
      <c r="Q323" s="115"/>
    </row>
    <row r="324" spans="1:17" ht="19.5">
      <c r="A324" s="115"/>
      <c r="B324" s="115"/>
      <c r="C324" s="115"/>
      <c r="D324" s="115"/>
      <c r="E324" s="115"/>
      <c r="F324" s="115"/>
      <c r="G324" s="115"/>
      <c r="H324" s="115"/>
      <c r="I324" s="115"/>
      <c r="J324" s="115"/>
      <c r="K324" s="115"/>
      <c r="L324" s="115"/>
      <c r="M324" s="115"/>
      <c r="N324" s="115"/>
      <c r="O324" s="115"/>
      <c r="P324" s="115"/>
      <c r="Q324" s="115"/>
    </row>
    <row r="325" spans="1:17" ht="19.5">
      <c r="A325" s="115"/>
      <c r="B325" s="115"/>
      <c r="C325" s="115"/>
      <c r="D325" s="115"/>
      <c r="E325" s="115"/>
      <c r="F325" s="115"/>
      <c r="G325" s="115"/>
      <c r="H325" s="115"/>
      <c r="I325" s="115"/>
      <c r="J325" s="115"/>
      <c r="K325" s="115"/>
      <c r="L325" s="115"/>
      <c r="M325" s="115"/>
      <c r="N325" s="115"/>
      <c r="O325" s="115"/>
      <c r="P325" s="115"/>
      <c r="Q325" s="115"/>
    </row>
    <row r="326" spans="1:17" ht="19.5">
      <c r="A326" s="115"/>
      <c r="B326" s="115"/>
      <c r="C326" s="115"/>
      <c r="D326" s="115"/>
      <c r="E326" s="115"/>
      <c r="F326" s="115"/>
      <c r="G326" s="115"/>
      <c r="H326" s="115"/>
      <c r="I326" s="115"/>
      <c r="J326" s="115"/>
      <c r="K326" s="115"/>
      <c r="L326" s="115"/>
      <c r="M326" s="115"/>
      <c r="N326" s="115"/>
      <c r="O326" s="115"/>
      <c r="P326" s="115"/>
      <c r="Q326" s="115"/>
    </row>
    <row r="327" spans="1:17" ht="19.5">
      <c r="A327" s="115"/>
      <c r="B327" s="115"/>
      <c r="C327" s="115"/>
      <c r="D327" s="115"/>
      <c r="E327" s="115"/>
      <c r="F327" s="115"/>
      <c r="G327" s="115"/>
      <c r="H327" s="115"/>
      <c r="I327" s="115"/>
      <c r="J327" s="115"/>
      <c r="K327" s="115"/>
      <c r="L327" s="115"/>
      <c r="M327" s="115"/>
      <c r="N327" s="115"/>
      <c r="O327" s="115"/>
      <c r="P327" s="115"/>
      <c r="Q327" s="115"/>
    </row>
    <row r="328" spans="1:17" ht="19.5">
      <c r="A328" s="115"/>
      <c r="B328" s="115"/>
      <c r="C328" s="115"/>
      <c r="D328" s="115"/>
      <c r="E328" s="115"/>
      <c r="F328" s="115"/>
      <c r="G328" s="115"/>
      <c r="H328" s="115"/>
      <c r="I328" s="115"/>
      <c r="J328" s="115"/>
      <c r="K328" s="115"/>
      <c r="L328" s="115"/>
      <c r="M328" s="115"/>
      <c r="N328" s="115"/>
      <c r="O328" s="115"/>
      <c r="P328" s="115"/>
      <c r="Q328" s="115"/>
    </row>
    <row r="329" spans="1:17" ht="19.5">
      <c r="A329" s="115"/>
      <c r="B329" s="115"/>
      <c r="C329" s="115"/>
      <c r="D329" s="115"/>
      <c r="E329" s="115"/>
      <c r="F329" s="115"/>
      <c r="G329" s="115"/>
      <c r="H329" s="115"/>
      <c r="I329" s="115"/>
      <c r="J329" s="115"/>
      <c r="K329" s="115"/>
      <c r="L329" s="115"/>
      <c r="M329" s="115"/>
      <c r="N329" s="115"/>
      <c r="O329" s="115"/>
      <c r="P329" s="115"/>
      <c r="Q329" s="115"/>
    </row>
  </sheetData>
  <sheetProtection/>
  <mergeCells count="11">
    <mergeCell ref="C7:C8"/>
    <mergeCell ref="D7:D8"/>
    <mergeCell ref="E7:H7"/>
    <mergeCell ref="I7:I8"/>
    <mergeCell ref="J7:J8"/>
    <mergeCell ref="A5:J5"/>
    <mergeCell ref="A2:J2"/>
    <mergeCell ref="I3:J3"/>
    <mergeCell ref="A4:J4"/>
    <mergeCell ref="A7:A8"/>
    <mergeCell ref="B7:B8"/>
  </mergeCells>
  <printOptions horizontalCentered="1"/>
  <pageMargins left="0.393055555555556" right="0.393055555555556" top="0.590277777777778" bottom="0.984027777777778" header="0.313888888888889" footer="0.313888888888889"/>
  <pageSetup firstPageNumber="1" useFirstPageNumber="1" fitToHeight="0" fitToWidth="1" horizontalDpi="600" verticalDpi="600" orientation="landscape" paperSize="9" r:id="rId1"/>
  <headerFooter differentFirst="1">
    <oddFooter>&amp;R&amp;P</oddFooter>
  </headerFooter>
</worksheet>
</file>

<file path=xl/worksheets/sheet14.xml><?xml version="1.0" encoding="utf-8"?>
<worksheet xmlns="http://schemas.openxmlformats.org/spreadsheetml/2006/main" xmlns:r="http://schemas.openxmlformats.org/officeDocument/2006/relationships">
  <dimension ref="A1:T79"/>
  <sheetViews>
    <sheetView view="pageBreakPreview" zoomScale="130" zoomScaleSheetLayoutView="130" zoomScalePageLayoutView="0" workbookViewId="0" topLeftCell="A1">
      <pane xSplit="2" ySplit="6" topLeftCell="C73" activePane="bottomRight" state="frozen"/>
      <selection pane="topLeft" activeCell="F109" sqref="F109"/>
      <selection pane="topRight" activeCell="F109" sqref="F109"/>
      <selection pane="bottomLeft" activeCell="F109" sqref="F109"/>
      <selection pane="bottomRight" activeCell="N27" sqref="N27"/>
    </sheetView>
  </sheetViews>
  <sheetFormatPr defaultColWidth="8.625" defaultRowHeight="14.25" customHeight="1"/>
  <cols>
    <col min="1" max="1" width="4.75390625" style="687" customWidth="1"/>
    <col min="2" max="2" width="30.625" style="687" customWidth="1"/>
    <col min="3" max="3" width="12.875" style="687" customWidth="1"/>
    <col min="4" max="7" width="8.625" style="687" customWidth="1"/>
    <col min="8" max="8" width="7.625" style="687" customWidth="1"/>
    <col min="9" max="17" width="6.875" style="687" customWidth="1"/>
    <col min="18" max="18" width="10.00390625" style="802" customWidth="1"/>
    <col min="19" max="19" width="10.625" style="802" customWidth="1"/>
    <col min="20" max="16384" width="8.625" style="687" customWidth="1"/>
  </cols>
  <sheetData>
    <row r="1" spans="1:19" ht="14.25" customHeight="1">
      <c r="A1" s="1399" t="s">
        <v>1070</v>
      </c>
      <c r="B1" s="1399"/>
      <c r="C1" s="1399"/>
      <c r="D1" s="1399"/>
      <c r="E1" s="1399"/>
      <c r="F1" s="1399"/>
      <c r="G1" s="1399"/>
      <c r="H1" s="1399"/>
      <c r="I1" s="1399"/>
      <c r="J1" s="1399"/>
      <c r="K1" s="1399"/>
      <c r="L1" s="1399"/>
      <c r="M1" s="1399"/>
      <c r="N1" s="1399"/>
      <c r="O1" s="1399"/>
      <c r="P1" s="1399"/>
      <c r="Q1" s="1399"/>
      <c r="R1" s="1399"/>
      <c r="S1" s="1399"/>
    </row>
    <row r="2" spans="1:19" ht="37.5" customHeight="1">
      <c r="A2" s="688"/>
      <c r="B2" s="1400" t="s">
        <v>1185</v>
      </c>
      <c r="C2" s="1400"/>
      <c r="D2" s="1400"/>
      <c r="E2" s="1400"/>
      <c r="F2" s="1400"/>
      <c r="G2" s="1400"/>
      <c r="H2" s="1400"/>
      <c r="I2" s="1400"/>
      <c r="J2" s="1400"/>
      <c r="K2" s="1400"/>
      <c r="L2" s="1400"/>
      <c r="M2" s="1400"/>
      <c r="N2" s="1400"/>
      <c r="O2" s="1400"/>
      <c r="P2" s="1400"/>
      <c r="Q2" s="1400"/>
      <c r="R2" s="1400"/>
      <c r="S2" s="1400"/>
    </row>
    <row r="3" spans="1:19" ht="14.25" customHeight="1">
      <c r="A3" s="1401" t="s">
        <v>1186</v>
      </c>
      <c r="B3" s="1401"/>
      <c r="C3" s="1401"/>
      <c r="D3" s="1401"/>
      <c r="E3" s="1401"/>
      <c r="F3" s="1401"/>
      <c r="G3" s="1401"/>
      <c r="H3" s="1401"/>
      <c r="I3" s="1401"/>
      <c r="J3" s="1401"/>
      <c r="K3" s="1401"/>
      <c r="L3" s="1401"/>
      <c r="M3" s="1401"/>
      <c r="N3" s="1401"/>
      <c r="O3" s="1401"/>
      <c r="P3" s="1401"/>
      <c r="Q3" s="1401"/>
      <c r="R3" s="1401"/>
      <c r="S3" s="1401"/>
    </row>
    <row r="4" spans="1:19" ht="14.25" customHeight="1">
      <c r="A4" s="1402" t="s">
        <v>399</v>
      </c>
      <c r="B4" s="1402" t="s">
        <v>1071</v>
      </c>
      <c r="C4" s="1395" t="s">
        <v>4</v>
      </c>
      <c r="D4" s="1403" t="s">
        <v>1180</v>
      </c>
      <c r="E4" s="1404" t="s">
        <v>468</v>
      </c>
      <c r="F4" s="1404"/>
      <c r="G4" s="1395" t="s">
        <v>1174</v>
      </c>
      <c r="H4" s="1395"/>
      <c r="I4" s="1395"/>
      <c r="J4" s="1395"/>
      <c r="K4" s="1395"/>
      <c r="L4" s="1395"/>
      <c r="M4" s="1395"/>
      <c r="N4" s="1395"/>
      <c r="O4" s="1395"/>
      <c r="P4" s="1395"/>
      <c r="Q4" s="1395"/>
      <c r="R4" s="1405" t="s">
        <v>1072</v>
      </c>
      <c r="S4" s="1405"/>
    </row>
    <row r="5" spans="1:19" ht="14.25" customHeight="1">
      <c r="A5" s="1402"/>
      <c r="B5" s="1402"/>
      <c r="C5" s="1395"/>
      <c r="D5" s="1403"/>
      <c r="E5" s="1393" t="s">
        <v>549</v>
      </c>
      <c r="F5" s="1394" t="s">
        <v>7</v>
      </c>
      <c r="G5" s="1395" t="s">
        <v>299</v>
      </c>
      <c r="H5" s="1395" t="s">
        <v>528</v>
      </c>
      <c r="I5" s="1395"/>
      <c r="J5" s="1395"/>
      <c r="K5" s="1395"/>
      <c r="L5" s="1395"/>
      <c r="M5" s="1395"/>
      <c r="N5" s="1395"/>
      <c r="O5" s="1395"/>
      <c r="P5" s="1395"/>
      <c r="Q5" s="1395"/>
      <c r="R5" s="1396" t="s">
        <v>1183</v>
      </c>
      <c r="S5" s="1396" t="s">
        <v>1184</v>
      </c>
    </row>
    <row r="6" spans="1:19" ht="43.5" customHeight="1">
      <c r="A6" s="1402"/>
      <c r="B6" s="1402"/>
      <c r="C6" s="1395"/>
      <c r="D6" s="1403"/>
      <c r="E6" s="1393"/>
      <c r="F6" s="1394"/>
      <c r="G6" s="1395"/>
      <c r="H6" s="689" t="s">
        <v>554</v>
      </c>
      <c r="I6" s="689" t="s">
        <v>530</v>
      </c>
      <c r="J6" s="689" t="s">
        <v>726</v>
      </c>
      <c r="K6" s="689" t="s">
        <v>957</v>
      </c>
      <c r="L6" s="689" t="s">
        <v>596</v>
      </c>
      <c r="M6" s="689" t="s">
        <v>597</v>
      </c>
      <c r="N6" s="689" t="s">
        <v>1073</v>
      </c>
      <c r="O6" s="689" t="s">
        <v>598</v>
      </c>
      <c r="P6" s="689" t="s">
        <v>599</v>
      </c>
      <c r="Q6" s="689" t="s">
        <v>601</v>
      </c>
      <c r="R6" s="1397"/>
      <c r="S6" s="1398"/>
    </row>
    <row r="7" spans="1:19" ht="14.25" customHeight="1">
      <c r="A7" s="690">
        <v>1</v>
      </c>
      <c r="B7" s="690">
        <v>2</v>
      </c>
      <c r="C7" s="690">
        <v>3</v>
      </c>
      <c r="D7" s="691">
        <v>4</v>
      </c>
      <c r="E7" s="692">
        <v>5</v>
      </c>
      <c r="F7" s="691">
        <v>6</v>
      </c>
      <c r="G7" s="691">
        <v>7</v>
      </c>
      <c r="H7" s="691">
        <v>8</v>
      </c>
      <c r="I7" s="691">
        <v>9</v>
      </c>
      <c r="J7" s="691">
        <v>10</v>
      </c>
      <c r="K7" s="691">
        <v>11</v>
      </c>
      <c r="L7" s="691">
        <v>12</v>
      </c>
      <c r="M7" s="691">
        <v>13</v>
      </c>
      <c r="N7" s="691">
        <v>14</v>
      </c>
      <c r="O7" s="691">
        <v>15</v>
      </c>
      <c r="P7" s="691">
        <v>16</v>
      </c>
      <c r="Q7" s="691">
        <v>17</v>
      </c>
      <c r="R7" s="693" t="s">
        <v>1074</v>
      </c>
      <c r="S7" s="693" t="s">
        <v>1075</v>
      </c>
    </row>
    <row r="8" spans="1:19" ht="14.25" customHeight="1">
      <c r="A8" s="694" t="s">
        <v>48</v>
      </c>
      <c r="B8" s="695" t="s">
        <v>1076</v>
      </c>
      <c r="C8" s="696"/>
      <c r="D8" s="697"/>
      <c r="E8" s="698"/>
      <c r="F8" s="697"/>
      <c r="G8" s="699"/>
      <c r="H8" s="699"/>
      <c r="I8" s="699"/>
      <c r="J8" s="699"/>
      <c r="K8" s="699"/>
      <c r="L8" s="699"/>
      <c r="M8" s="699"/>
      <c r="N8" s="699"/>
      <c r="O8" s="699"/>
      <c r="P8" s="699"/>
      <c r="Q8" s="699"/>
      <c r="R8" s="700"/>
      <c r="S8" s="700"/>
    </row>
    <row r="9" spans="1:19" ht="14.25" customHeight="1">
      <c r="A9" s="694" t="s">
        <v>107</v>
      </c>
      <c r="B9" s="695" t="s">
        <v>1077</v>
      </c>
      <c r="C9" s="689"/>
      <c r="D9" s="697"/>
      <c r="E9" s="698"/>
      <c r="F9" s="697"/>
      <c r="G9" s="697"/>
      <c r="H9" s="697"/>
      <c r="I9" s="697"/>
      <c r="J9" s="697"/>
      <c r="K9" s="697"/>
      <c r="L9" s="697"/>
      <c r="M9" s="697"/>
      <c r="N9" s="697"/>
      <c r="O9" s="697"/>
      <c r="P9" s="697"/>
      <c r="Q9" s="697"/>
      <c r="R9" s="693"/>
      <c r="S9" s="693"/>
    </row>
    <row r="10" spans="1:19" ht="14.25" customHeight="1">
      <c r="A10" s="690">
        <v>1</v>
      </c>
      <c r="B10" s="701" t="s">
        <v>1078</v>
      </c>
      <c r="C10" s="696" t="s">
        <v>85</v>
      </c>
      <c r="D10" s="697">
        <v>92</v>
      </c>
      <c r="E10" s="698">
        <v>92</v>
      </c>
      <c r="F10" s="697">
        <v>92</v>
      </c>
      <c r="G10" s="697">
        <v>92</v>
      </c>
      <c r="H10" s="691">
        <v>0</v>
      </c>
      <c r="I10" s="691">
        <v>18</v>
      </c>
      <c r="J10" s="691">
        <v>13</v>
      </c>
      <c r="K10" s="691">
        <v>13</v>
      </c>
      <c r="L10" s="691">
        <v>9</v>
      </c>
      <c r="M10" s="691">
        <v>11</v>
      </c>
      <c r="N10" s="691">
        <v>1</v>
      </c>
      <c r="O10" s="691">
        <v>9</v>
      </c>
      <c r="P10" s="691">
        <v>7</v>
      </c>
      <c r="Q10" s="691">
        <v>11</v>
      </c>
      <c r="R10" s="693">
        <v>100</v>
      </c>
      <c r="S10" s="693">
        <v>100</v>
      </c>
    </row>
    <row r="11" spans="1:19" ht="14.25" customHeight="1">
      <c r="A11" s="690">
        <v>2</v>
      </c>
      <c r="B11" s="701" t="s">
        <v>1079</v>
      </c>
      <c r="C11" s="696" t="s">
        <v>21</v>
      </c>
      <c r="D11" s="702">
        <v>79.3</v>
      </c>
      <c r="E11" s="702">
        <v>79.3</v>
      </c>
      <c r="F11" s="702">
        <v>79.3</v>
      </c>
      <c r="G11" s="702">
        <v>79.3</v>
      </c>
      <c r="H11" s="703">
        <v>0</v>
      </c>
      <c r="I11" s="703">
        <v>72</v>
      </c>
      <c r="J11" s="703">
        <v>100</v>
      </c>
      <c r="K11" s="703">
        <v>72.22222222222221</v>
      </c>
      <c r="L11" s="703">
        <v>100</v>
      </c>
      <c r="M11" s="703">
        <v>100</v>
      </c>
      <c r="N11" s="703">
        <v>100</v>
      </c>
      <c r="O11" s="703">
        <v>81.81818181818183</v>
      </c>
      <c r="P11" s="703">
        <v>63.63636363636363</v>
      </c>
      <c r="Q11" s="703">
        <v>73.33333333333333</v>
      </c>
      <c r="R11" s="693">
        <v>100</v>
      </c>
      <c r="S11" s="693">
        <v>100</v>
      </c>
    </row>
    <row r="12" spans="1:20" ht="14.25" customHeight="1">
      <c r="A12" s="690">
        <v>3</v>
      </c>
      <c r="B12" s="701" t="s">
        <v>1080</v>
      </c>
      <c r="C12" s="696" t="s">
        <v>1081</v>
      </c>
      <c r="D12" s="697">
        <v>4106</v>
      </c>
      <c r="E12" s="698">
        <v>4135</v>
      </c>
      <c r="F12" s="697">
        <v>4175</v>
      </c>
      <c r="G12" s="697">
        <v>45933.1791042291</v>
      </c>
      <c r="H12" s="697">
        <v>11906.4</v>
      </c>
      <c r="I12" s="697">
        <v>4448.692307692308</v>
      </c>
      <c r="J12" s="697">
        <v>4345.333333333333</v>
      </c>
      <c r="K12" s="697">
        <v>4192.55</v>
      </c>
      <c r="L12" s="697">
        <v>4368.727272727273</v>
      </c>
      <c r="M12" s="697">
        <v>3859.9285714285716</v>
      </c>
      <c r="N12" s="697">
        <v>2845</v>
      </c>
      <c r="O12" s="697">
        <v>3699</v>
      </c>
      <c r="P12" s="697">
        <v>3148.714285714286</v>
      </c>
      <c r="Q12" s="697">
        <v>3118.8333333333335</v>
      </c>
      <c r="R12" s="693">
        <v>101.680467608378</v>
      </c>
      <c r="S12" s="693">
        <v>1100.1959066881222</v>
      </c>
      <c r="T12" s="687">
        <f>SUM(H12:Q12)/10</f>
        <v>4593.31791042291</v>
      </c>
    </row>
    <row r="13" spans="1:20" ht="14.25" customHeight="1">
      <c r="A13" s="704">
        <v>4</v>
      </c>
      <c r="B13" s="705" t="s">
        <v>1082</v>
      </c>
      <c r="C13" s="706" t="s">
        <v>1083</v>
      </c>
      <c r="D13" s="707">
        <v>4.69</v>
      </c>
      <c r="E13" s="708">
        <v>4.69</v>
      </c>
      <c r="F13" s="707">
        <v>4.69</v>
      </c>
      <c r="G13" s="707">
        <v>4.65</v>
      </c>
      <c r="H13" s="707">
        <v>2.03</v>
      </c>
      <c r="I13" s="707">
        <v>4.48</v>
      </c>
      <c r="J13" s="707">
        <v>5.06</v>
      </c>
      <c r="K13" s="707">
        <v>4.25</v>
      </c>
      <c r="L13" s="707">
        <v>3.58</v>
      </c>
      <c r="M13" s="707">
        <v>3.9</v>
      </c>
      <c r="N13" s="707">
        <v>3</v>
      </c>
      <c r="O13" s="707">
        <v>5.4</v>
      </c>
      <c r="P13" s="707">
        <v>5.98</v>
      </c>
      <c r="Q13" s="707">
        <v>5.14</v>
      </c>
      <c r="R13" s="693">
        <v>100</v>
      </c>
      <c r="S13" s="693">
        <v>99.14712153518124</v>
      </c>
      <c r="T13" s="687">
        <f>SUM(H13:Q13)/10</f>
        <v>4.281999999999999</v>
      </c>
    </row>
    <row r="14" spans="1:19" ht="14.25" customHeight="1">
      <c r="A14" s="690">
        <v>5</v>
      </c>
      <c r="B14" s="701" t="s">
        <v>1084</v>
      </c>
      <c r="C14" s="696" t="s">
        <v>20</v>
      </c>
      <c r="D14" s="697">
        <v>75646</v>
      </c>
      <c r="E14" s="698">
        <v>77832</v>
      </c>
      <c r="F14" s="697">
        <v>122589</v>
      </c>
      <c r="G14" s="697">
        <v>125000</v>
      </c>
      <c r="H14" s="697"/>
      <c r="I14" s="697"/>
      <c r="J14" s="697"/>
      <c r="K14" s="697"/>
      <c r="L14" s="697"/>
      <c r="M14" s="697"/>
      <c r="N14" s="697"/>
      <c r="O14" s="697"/>
      <c r="P14" s="697"/>
      <c r="Q14" s="697"/>
      <c r="R14" s="693">
        <v>105.75575707902598</v>
      </c>
      <c r="S14" s="693">
        <v>111.98375</v>
      </c>
    </row>
    <row r="15" spans="1:19" ht="14.25" customHeight="1">
      <c r="A15" s="694" t="s">
        <v>117</v>
      </c>
      <c r="B15" s="695" t="s">
        <v>1085</v>
      </c>
      <c r="C15" s="689"/>
      <c r="D15" s="709"/>
      <c r="E15" s="710"/>
      <c r="F15" s="709"/>
      <c r="G15" s="711"/>
      <c r="H15" s="709"/>
      <c r="I15" s="709"/>
      <c r="J15" s="709"/>
      <c r="K15" s="709"/>
      <c r="L15" s="697"/>
      <c r="M15" s="709"/>
      <c r="N15" s="709"/>
      <c r="O15" s="709"/>
      <c r="P15" s="709"/>
      <c r="Q15" s="709"/>
      <c r="R15" s="693"/>
      <c r="S15" s="693"/>
    </row>
    <row r="16" spans="1:20" ht="14.25" customHeight="1">
      <c r="A16" s="690">
        <f>A14+1</f>
        <v>6</v>
      </c>
      <c r="B16" s="701" t="s">
        <v>1086</v>
      </c>
      <c r="C16" s="696" t="s">
        <v>1087</v>
      </c>
      <c r="D16" s="697">
        <v>488471</v>
      </c>
      <c r="E16" s="698">
        <v>453140</v>
      </c>
      <c r="F16" s="697">
        <v>520871</v>
      </c>
      <c r="G16" s="697">
        <v>543683</v>
      </c>
      <c r="H16" s="697">
        <v>92876</v>
      </c>
      <c r="I16" s="697">
        <v>111875</v>
      </c>
      <c r="J16" s="697">
        <v>51687</v>
      </c>
      <c r="K16" s="697">
        <v>69357</v>
      </c>
      <c r="L16" s="697">
        <v>42032</v>
      </c>
      <c r="M16" s="697">
        <v>49909</v>
      </c>
      <c r="N16" s="697">
        <v>17891</v>
      </c>
      <c r="O16" s="697">
        <v>27784</v>
      </c>
      <c r="P16" s="697">
        <v>36396</v>
      </c>
      <c r="Q16" s="697">
        <v>43876</v>
      </c>
      <c r="R16" s="693">
        <f>+F16/D16*100</f>
        <v>106.63294238552545</v>
      </c>
      <c r="S16" s="693">
        <v>107.66</v>
      </c>
      <c r="T16" s="712">
        <f>+F16/E16*100</f>
        <v>114.94703623604184</v>
      </c>
    </row>
    <row r="17" spans="1:19" ht="14.25" customHeight="1">
      <c r="A17" s="690">
        <f>A16+1</f>
        <v>7</v>
      </c>
      <c r="B17" s="701" t="s">
        <v>1088</v>
      </c>
      <c r="C17" s="696" t="s">
        <v>1089</v>
      </c>
      <c r="D17" s="709">
        <v>86.2</v>
      </c>
      <c r="E17" s="710">
        <v>74.7</v>
      </c>
      <c r="F17" s="709">
        <v>87.6</v>
      </c>
      <c r="G17" s="709">
        <v>92.8</v>
      </c>
      <c r="H17" s="709">
        <v>156.01021299469193</v>
      </c>
      <c r="I17" s="709">
        <v>96.72245949544379</v>
      </c>
      <c r="J17" s="709">
        <v>79.29886468241793</v>
      </c>
      <c r="K17" s="709">
        <v>82.71457704738167</v>
      </c>
      <c r="L17" s="709">
        <v>87.46462460462794</v>
      </c>
      <c r="M17" s="709">
        <v>92.35737152797054</v>
      </c>
      <c r="N17" s="709">
        <v>157.21441124780316</v>
      </c>
      <c r="O17" s="709">
        <v>57.77860960342712</v>
      </c>
      <c r="P17" s="709">
        <v>82.56431196406696</v>
      </c>
      <c r="Q17" s="709">
        <v>78.15600562888545</v>
      </c>
      <c r="R17" s="693">
        <v>101.62412993039442</v>
      </c>
      <c r="S17" s="693">
        <v>105.93607305936072</v>
      </c>
    </row>
    <row r="18" spans="1:19" ht="14.25" customHeight="1">
      <c r="A18" s="690">
        <f>A17+1</f>
        <v>8</v>
      </c>
      <c r="B18" s="701" t="s">
        <v>1090</v>
      </c>
      <c r="C18" s="696" t="s">
        <v>891</v>
      </c>
      <c r="D18" s="697">
        <v>1179</v>
      </c>
      <c r="E18" s="698">
        <v>1115</v>
      </c>
      <c r="F18" s="697">
        <v>1200</v>
      </c>
      <c r="G18" s="697">
        <v>1250</v>
      </c>
      <c r="H18" s="697"/>
      <c r="I18" s="697"/>
      <c r="J18" s="697"/>
      <c r="K18" s="697"/>
      <c r="L18" s="697"/>
      <c r="M18" s="697"/>
      <c r="N18" s="697"/>
      <c r="O18" s="697"/>
      <c r="P18" s="697"/>
      <c r="Q18" s="697"/>
      <c r="R18" s="693">
        <v>101.78117048346056</v>
      </c>
      <c r="S18" s="693">
        <v>104.16666666666667</v>
      </c>
    </row>
    <row r="19" spans="1:19" ht="14.25" customHeight="1">
      <c r="A19" s="690">
        <v>9</v>
      </c>
      <c r="B19" s="701" t="s">
        <v>1091</v>
      </c>
      <c r="C19" s="696" t="s">
        <v>85</v>
      </c>
      <c r="D19" s="697">
        <v>129</v>
      </c>
      <c r="E19" s="698">
        <v>130</v>
      </c>
      <c r="F19" s="697">
        <v>130</v>
      </c>
      <c r="G19" s="697">
        <v>130</v>
      </c>
      <c r="H19" s="697">
        <v>9</v>
      </c>
      <c r="I19" s="697">
        <v>25</v>
      </c>
      <c r="J19" s="697">
        <v>14</v>
      </c>
      <c r="K19" s="697">
        <v>19</v>
      </c>
      <c r="L19" s="697">
        <v>10</v>
      </c>
      <c r="M19" s="697">
        <v>12</v>
      </c>
      <c r="N19" s="697">
        <v>3</v>
      </c>
      <c r="O19" s="697">
        <v>12</v>
      </c>
      <c r="P19" s="697">
        <v>11</v>
      </c>
      <c r="Q19" s="697">
        <v>15</v>
      </c>
      <c r="R19" s="693">
        <v>100.7751937984496</v>
      </c>
      <c r="S19" s="693">
        <v>100</v>
      </c>
    </row>
    <row r="20" spans="1:19" ht="14.25" customHeight="1">
      <c r="A20" s="690">
        <f>A19+1</f>
        <v>10</v>
      </c>
      <c r="B20" s="701" t="s">
        <v>1092</v>
      </c>
      <c r="C20" s="696" t="s">
        <v>1093</v>
      </c>
      <c r="D20" s="709">
        <v>4</v>
      </c>
      <c r="E20" s="710">
        <v>4</v>
      </c>
      <c r="F20" s="709">
        <v>4</v>
      </c>
      <c r="G20" s="709">
        <v>4</v>
      </c>
      <c r="H20" s="697"/>
      <c r="I20" s="697"/>
      <c r="J20" s="697"/>
      <c r="K20" s="697"/>
      <c r="L20" s="697"/>
      <c r="M20" s="697"/>
      <c r="N20" s="697"/>
      <c r="O20" s="697"/>
      <c r="P20" s="697"/>
      <c r="Q20" s="697"/>
      <c r="R20" s="693">
        <v>100</v>
      </c>
      <c r="S20" s="693">
        <v>100</v>
      </c>
    </row>
    <row r="21" spans="1:19" ht="14.25" customHeight="1">
      <c r="A21" s="690">
        <f>A20+1</f>
        <v>11</v>
      </c>
      <c r="B21" s="701" t="s">
        <v>1094</v>
      </c>
      <c r="C21" s="696" t="s">
        <v>1093</v>
      </c>
      <c r="D21" s="697">
        <v>367</v>
      </c>
      <c r="E21" s="698">
        <v>480</v>
      </c>
      <c r="F21" s="697">
        <v>480</v>
      </c>
      <c r="G21" s="697">
        <v>480</v>
      </c>
      <c r="H21" s="709"/>
      <c r="I21" s="697"/>
      <c r="J21" s="697"/>
      <c r="K21" s="697"/>
      <c r="L21" s="697"/>
      <c r="M21" s="697"/>
      <c r="N21" s="697"/>
      <c r="O21" s="697"/>
      <c r="P21" s="697"/>
      <c r="Q21" s="697"/>
      <c r="R21" s="693">
        <v>130.79019073569484</v>
      </c>
      <c r="S21" s="693">
        <v>100</v>
      </c>
    </row>
    <row r="22" spans="1:19" ht="14.25" customHeight="1">
      <c r="A22" s="690">
        <v>12</v>
      </c>
      <c r="B22" s="701" t="s">
        <v>1095</v>
      </c>
      <c r="C22" s="696" t="s">
        <v>1096</v>
      </c>
      <c r="D22" s="697">
        <v>3011</v>
      </c>
      <c r="E22" s="698">
        <v>3821</v>
      </c>
      <c r="F22" s="697">
        <v>3821</v>
      </c>
      <c r="G22" s="697">
        <v>3821</v>
      </c>
      <c r="H22" s="697"/>
      <c r="I22" s="697"/>
      <c r="J22" s="697"/>
      <c r="K22" s="697"/>
      <c r="L22" s="697"/>
      <c r="M22" s="697"/>
      <c r="N22" s="697"/>
      <c r="O22" s="697"/>
      <c r="P22" s="697"/>
      <c r="Q22" s="697"/>
      <c r="R22" s="693">
        <v>126.9013616738625</v>
      </c>
      <c r="S22" s="693">
        <v>100</v>
      </c>
    </row>
    <row r="23" spans="1:19" ht="14.25" customHeight="1">
      <c r="A23" s="690">
        <f>A22+1</f>
        <v>13</v>
      </c>
      <c r="B23" s="701" t="s">
        <v>1097</v>
      </c>
      <c r="C23" s="696" t="s">
        <v>1096</v>
      </c>
      <c r="D23" s="709">
        <v>517</v>
      </c>
      <c r="E23" s="698"/>
      <c r="F23" s="697"/>
      <c r="G23" s="697"/>
      <c r="H23" s="709"/>
      <c r="I23" s="709"/>
      <c r="J23" s="709"/>
      <c r="K23" s="709"/>
      <c r="L23" s="709"/>
      <c r="M23" s="709"/>
      <c r="N23" s="709"/>
      <c r="O23" s="709"/>
      <c r="P23" s="709"/>
      <c r="Q23" s="709"/>
      <c r="R23" s="693">
        <v>0</v>
      </c>
      <c r="S23" s="693"/>
    </row>
    <row r="24" spans="1:19" ht="14.25" customHeight="1">
      <c r="A24" s="690">
        <f>A23+1</f>
        <v>14</v>
      </c>
      <c r="B24" s="701" t="s">
        <v>1098</v>
      </c>
      <c r="C24" s="696" t="s">
        <v>21</v>
      </c>
      <c r="D24" s="703">
        <v>17.2</v>
      </c>
      <c r="E24" s="713"/>
      <c r="F24" s="703"/>
      <c r="G24" s="703"/>
      <c r="H24" s="714"/>
      <c r="I24" s="714"/>
      <c r="J24" s="714"/>
      <c r="K24" s="714"/>
      <c r="L24" s="714"/>
      <c r="M24" s="714"/>
      <c r="N24" s="714"/>
      <c r="O24" s="714"/>
      <c r="P24" s="714"/>
      <c r="Q24" s="714"/>
      <c r="R24" s="693">
        <v>0</v>
      </c>
      <c r="S24" s="693"/>
    </row>
    <row r="25" spans="1:19" ht="14.25" customHeight="1">
      <c r="A25" s="690">
        <v>15</v>
      </c>
      <c r="B25" s="701" t="s">
        <v>1099</v>
      </c>
      <c r="C25" s="696" t="s">
        <v>20</v>
      </c>
      <c r="D25" s="697">
        <v>260463</v>
      </c>
      <c r="E25" s="698">
        <v>374140</v>
      </c>
      <c r="F25" s="697">
        <v>336502</v>
      </c>
      <c r="G25" s="697">
        <v>375000</v>
      </c>
      <c r="H25" s="697"/>
      <c r="I25" s="697"/>
      <c r="J25" s="697"/>
      <c r="K25" s="697"/>
      <c r="L25" s="697"/>
      <c r="M25" s="697"/>
      <c r="N25" s="697"/>
      <c r="O25" s="697"/>
      <c r="P25" s="697"/>
      <c r="Q25" s="697"/>
      <c r="R25" s="693">
        <v>106.34907837197606</v>
      </c>
      <c r="S25" s="693">
        <v>104.69314079422382</v>
      </c>
    </row>
    <row r="26" spans="1:19" ht="14.25" customHeight="1">
      <c r="A26" s="694" t="s">
        <v>122</v>
      </c>
      <c r="B26" s="695" t="s">
        <v>1100</v>
      </c>
      <c r="C26" s="689"/>
      <c r="D26" s="709"/>
      <c r="E26" s="710"/>
      <c r="F26" s="715"/>
      <c r="G26" s="711"/>
      <c r="H26" s="709"/>
      <c r="I26" s="709"/>
      <c r="J26" s="709"/>
      <c r="K26" s="709"/>
      <c r="L26" s="709"/>
      <c r="M26" s="709"/>
      <c r="N26" s="709"/>
      <c r="O26" s="709"/>
      <c r="P26" s="709"/>
      <c r="Q26" s="709"/>
      <c r="R26" s="693"/>
      <c r="S26" s="693"/>
    </row>
    <row r="27" spans="1:20" ht="14.25" customHeight="1">
      <c r="A27" s="690">
        <f>A25+1</f>
        <v>16</v>
      </c>
      <c r="B27" s="701" t="s">
        <v>1101</v>
      </c>
      <c r="C27" s="696" t="s">
        <v>1087</v>
      </c>
      <c r="D27" s="716">
        <v>30226</v>
      </c>
      <c r="E27" s="698">
        <v>30000</v>
      </c>
      <c r="F27" s="697">
        <v>36125</v>
      </c>
      <c r="G27" s="697">
        <v>40000</v>
      </c>
      <c r="H27" s="697">
        <v>15422</v>
      </c>
      <c r="I27" s="697">
        <v>9958</v>
      </c>
      <c r="J27" s="697">
        <v>1521</v>
      </c>
      <c r="K27" s="697">
        <v>3252</v>
      </c>
      <c r="L27" s="697">
        <v>1896</v>
      </c>
      <c r="M27" s="697">
        <v>1740</v>
      </c>
      <c r="N27" s="697">
        <v>1362</v>
      </c>
      <c r="O27" s="697">
        <v>1578</v>
      </c>
      <c r="P27" s="697">
        <v>1721</v>
      </c>
      <c r="Q27" s="697">
        <v>1550</v>
      </c>
      <c r="R27" s="693">
        <f>+F27/D27*100</f>
        <v>119.51631046119235</v>
      </c>
      <c r="S27" s="693">
        <f>+G27/F27*100</f>
        <v>110.72664359861592</v>
      </c>
      <c r="T27" s="712">
        <f>+F27/E27*100</f>
        <v>120.41666666666666</v>
      </c>
    </row>
    <row r="28" spans="1:20" ht="14.25" customHeight="1">
      <c r="A28" s="690">
        <f>A27+1</f>
        <v>17</v>
      </c>
      <c r="B28" s="701" t="s">
        <v>1102</v>
      </c>
      <c r="C28" s="696" t="s">
        <v>1103</v>
      </c>
      <c r="D28" s="717">
        <v>3.4</v>
      </c>
      <c r="E28" s="710">
        <v>5.2</v>
      </c>
      <c r="F28" s="709">
        <v>6.1</v>
      </c>
      <c r="G28" s="709">
        <v>6.8</v>
      </c>
      <c r="H28" s="709">
        <v>25.905395417590537</v>
      </c>
      <c r="I28" s="709">
        <v>8.609271523178808</v>
      </c>
      <c r="J28" s="709">
        <v>2.3335378950598344</v>
      </c>
      <c r="K28" s="709">
        <v>3.8783079510083365</v>
      </c>
      <c r="L28" s="709">
        <v>3.9453970367904114</v>
      </c>
      <c r="M28" s="709">
        <v>3.219896741242436</v>
      </c>
      <c r="N28" s="709">
        <v>11.968365553602812</v>
      </c>
      <c r="O28" s="709">
        <v>3.281552186661676</v>
      </c>
      <c r="P28" s="709">
        <v>3.904087836305068</v>
      </c>
      <c r="Q28" s="709">
        <v>2.7610039366572257</v>
      </c>
      <c r="R28" s="693">
        <f>+F28/E28*100</f>
        <v>117.30769230769229</v>
      </c>
      <c r="S28" s="693">
        <v>111.47540983606558</v>
      </c>
      <c r="T28" s="687">
        <f>SUM(H28:Q28)/10</f>
        <v>6.980681607809716</v>
      </c>
    </row>
    <row r="29" spans="1:19" ht="14.25" customHeight="1">
      <c r="A29" s="690">
        <f>A28+1</f>
        <v>18</v>
      </c>
      <c r="B29" s="701" t="s">
        <v>1104</v>
      </c>
      <c r="C29" s="696" t="s">
        <v>85</v>
      </c>
      <c r="D29" s="718">
        <v>130</v>
      </c>
      <c r="E29" s="698">
        <v>130</v>
      </c>
      <c r="F29" s="697">
        <v>130</v>
      </c>
      <c r="G29" s="697">
        <v>130</v>
      </c>
      <c r="H29" s="697">
        <v>9</v>
      </c>
      <c r="I29" s="697">
        <v>25</v>
      </c>
      <c r="J29" s="697">
        <v>14</v>
      </c>
      <c r="K29" s="697">
        <v>19</v>
      </c>
      <c r="L29" s="697">
        <v>10</v>
      </c>
      <c r="M29" s="697">
        <v>12</v>
      </c>
      <c r="N29" s="697">
        <v>3</v>
      </c>
      <c r="O29" s="697">
        <v>12</v>
      </c>
      <c r="P29" s="697">
        <v>11</v>
      </c>
      <c r="Q29" s="697">
        <v>15</v>
      </c>
      <c r="R29" s="693">
        <f>+F29/E29*100</f>
        <v>100</v>
      </c>
      <c r="S29" s="693">
        <v>100</v>
      </c>
    </row>
    <row r="30" spans="1:19" ht="14.25" customHeight="1">
      <c r="A30" s="690">
        <f>A29+1</f>
        <v>19</v>
      </c>
      <c r="B30" s="701" t="s">
        <v>1105</v>
      </c>
      <c r="C30" s="696" t="s">
        <v>21</v>
      </c>
      <c r="D30" s="719">
        <v>100</v>
      </c>
      <c r="E30" s="720">
        <v>100</v>
      </c>
      <c r="F30" s="721">
        <v>100</v>
      </c>
      <c r="G30" s="721">
        <v>100</v>
      </c>
      <c r="H30" s="721">
        <v>100</v>
      </c>
      <c r="I30" s="721">
        <v>100</v>
      </c>
      <c r="J30" s="721">
        <v>100</v>
      </c>
      <c r="K30" s="721">
        <v>100</v>
      </c>
      <c r="L30" s="721">
        <v>100</v>
      </c>
      <c r="M30" s="721">
        <v>100</v>
      </c>
      <c r="N30" s="721">
        <v>100</v>
      </c>
      <c r="O30" s="721">
        <v>100</v>
      </c>
      <c r="P30" s="721">
        <v>100</v>
      </c>
      <c r="Q30" s="721">
        <v>100</v>
      </c>
      <c r="R30" s="693">
        <f>+F30/E30*100</f>
        <v>100</v>
      </c>
      <c r="S30" s="693">
        <v>100</v>
      </c>
    </row>
    <row r="31" spans="1:19" ht="14.25" customHeight="1">
      <c r="A31" s="690">
        <f>A30+1</f>
        <v>20</v>
      </c>
      <c r="B31" s="722" t="s">
        <v>1106</v>
      </c>
      <c r="C31" s="696" t="s">
        <v>20</v>
      </c>
      <c r="D31" s="718">
        <v>46620</v>
      </c>
      <c r="E31" s="698">
        <v>43510</v>
      </c>
      <c r="F31" s="697">
        <v>43510</v>
      </c>
      <c r="G31" s="697">
        <v>45000</v>
      </c>
      <c r="H31" s="697"/>
      <c r="I31" s="697"/>
      <c r="J31" s="697"/>
      <c r="K31" s="697"/>
      <c r="L31" s="697"/>
      <c r="M31" s="697"/>
      <c r="N31" s="697"/>
      <c r="O31" s="697"/>
      <c r="P31" s="697"/>
      <c r="Q31" s="697"/>
      <c r="R31" s="693">
        <f>+F31/E31*100</f>
        <v>100</v>
      </c>
      <c r="S31" s="693">
        <v>103.4245001149161</v>
      </c>
    </row>
    <row r="32" spans="1:19" ht="14.25" customHeight="1">
      <c r="A32" s="694" t="s">
        <v>91</v>
      </c>
      <c r="B32" s="694" t="s">
        <v>1107</v>
      </c>
      <c r="C32" s="696"/>
      <c r="D32" s="709"/>
      <c r="E32" s="710"/>
      <c r="F32" s="709"/>
      <c r="G32" s="711"/>
      <c r="H32" s="711"/>
      <c r="I32" s="711"/>
      <c r="J32" s="711"/>
      <c r="K32" s="711"/>
      <c r="L32" s="711"/>
      <c r="M32" s="711"/>
      <c r="N32" s="711"/>
      <c r="O32" s="711"/>
      <c r="P32" s="711"/>
      <c r="Q32" s="711"/>
      <c r="R32" s="693"/>
      <c r="S32" s="693"/>
    </row>
    <row r="33" spans="1:19" ht="14.25" customHeight="1">
      <c r="A33" s="694" t="s">
        <v>107</v>
      </c>
      <c r="B33" s="695" t="s">
        <v>1108</v>
      </c>
      <c r="C33" s="689"/>
      <c r="D33" s="709"/>
      <c r="E33" s="710"/>
      <c r="F33" s="709"/>
      <c r="G33" s="711"/>
      <c r="H33" s="711"/>
      <c r="I33" s="711"/>
      <c r="J33" s="711"/>
      <c r="K33" s="711"/>
      <c r="L33" s="711"/>
      <c r="M33" s="711"/>
      <c r="N33" s="711"/>
      <c r="O33" s="711"/>
      <c r="P33" s="711"/>
      <c r="Q33" s="711"/>
      <c r="R33" s="693"/>
      <c r="S33" s="693"/>
    </row>
    <row r="34" spans="1:19" ht="14.25" customHeight="1">
      <c r="A34" s="690">
        <f>A31+1</f>
        <v>21</v>
      </c>
      <c r="B34" s="701" t="s">
        <v>1109</v>
      </c>
      <c r="C34" s="696" t="s">
        <v>1110</v>
      </c>
      <c r="D34" s="723">
        <v>390</v>
      </c>
      <c r="E34" s="698">
        <v>320</v>
      </c>
      <c r="F34" s="697">
        <v>320</v>
      </c>
      <c r="G34" s="697">
        <v>330</v>
      </c>
      <c r="H34" s="697"/>
      <c r="I34" s="697"/>
      <c r="J34" s="697"/>
      <c r="K34" s="697"/>
      <c r="L34" s="697"/>
      <c r="M34" s="697"/>
      <c r="N34" s="697"/>
      <c r="O34" s="697"/>
      <c r="P34" s="697"/>
      <c r="Q34" s="697"/>
      <c r="R34" s="693">
        <v>82.05128205128204</v>
      </c>
      <c r="S34" s="693">
        <v>103.125</v>
      </c>
    </row>
    <row r="35" spans="1:19" ht="14.25" customHeight="1">
      <c r="A35" s="690">
        <f>A34+1</f>
        <v>22</v>
      </c>
      <c r="B35" s="701" t="s">
        <v>1111</v>
      </c>
      <c r="C35" s="696" t="s">
        <v>546</v>
      </c>
      <c r="D35" s="716">
        <v>733500</v>
      </c>
      <c r="E35" s="698">
        <v>700000</v>
      </c>
      <c r="F35" s="724">
        <v>809000</v>
      </c>
      <c r="G35" s="697">
        <v>810000</v>
      </c>
      <c r="H35" s="697"/>
      <c r="I35" s="697"/>
      <c r="J35" s="697"/>
      <c r="K35" s="697"/>
      <c r="L35" s="697"/>
      <c r="M35" s="697"/>
      <c r="N35" s="697"/>
      <c r="O35" s="697"/>
      <c r="P35" s="697"/>
      <c r="Q35" s="697"/>
      <c r="R35" s="693">
        <v>110.29311520109066</v>
      </c>
      <c r="S35" s="693">
        <v>100.12360939431397</v>
      </c>
    </row>
    <row r="36" spans="1:19" ht="21" customHeight="1">
      <c r="A36" s="690">
        <f>A35+1</f>
        <v>23</v>
      </c>
      <c r="B36" s="725" t="s">
        <v>1112</v>
      </c>
      <c r="C36" s="696" t="s">
        <v>1113</v>
      </c>
      <c r="D36" s="717">
        <v>1.3</v>
      </c>
      <c r="E36" s="726">
        <v>1.2</v>
      </c>
      <c r="F36" s="727">
        <v>1.4</v>
      </c>
      <c r="G36" s="728">
        <v>1.4</v>
      </c>
      <c r="H36" s="728"/>
      <c r="I36" s="728"/>
      <c r="J36" s="728"/>
      <c r="K36" s="728"/>
      <c r="L36" s="728"/>
      <c r="M36" s="728"/>
      <c r="N36" s="728"/>
      <c r="O36" s="728"/>
      <c r="P36" s="728"/>
      <c r="Q36" s="728"/>
      <c r="R36" s="693">
        <v>107.6923076923077</v>
      </c>
      <c r="S36" s="693">
        <v>100</v>
      </c>
    </row>
    <row r="37" spans="1:19" ht="14.25" customHeight="1">
      <c r="A37" s="690">
        <v>24</v>
      </c>
      <c r="B37" s="701" t="s">
        <v>1114</v>
      </c>
      <c r="C37" s="696" t="s">
        <v>20</v>
      </c>
      <c r="D37" s="716">
        <v>16430</v>
      </c>
      <c r="E37" s="698">
        <v>16700</v>
      </c>
      <c r="F37" s="724">
        <v>16700</v>
      </c>
      <c r="G37" s="697">
        <v>16800</v>
      </c>
      <c r="H37" s="697"/>
      <c r="I37" s="697"/>
      <c r="J37" s="697"/>
      <c r="K37" s="697"/>
      <c r="L37" s="697"/>
      <c r="M37" s="697"/>
      <c r="N37" s="697"/>
      <c r="O37" s="697"/>
      <c r="P37" s="697"/>
      <c r="Q37" s="697"/>
      <c r="R37" s="693">
        <v>101.64333536214242</v>
      </c>
      <c r="S37" s="693">
        <v>100.59880239520957</v>
      </c>
    </row>
    <row r="38" spans="1:19" ht="14.25" customHeight="1">
      <c r="A38" s="694" t="s">
        <v>117</v>
      </c>
      <c r="B38" s="695" t="s">
        <v>1115</v>
      </c>
      <c r="C38" s="689"/>
      <c r="D38" s="709"/>
      <c r="E38" s="710"/>
      <c r="F38" s="709"/>
      <c r="G38" s="711"/>
      <c r="H38" s="711"/>
      <c r="I38" s="711"/>
      <c r="J38" s="711"/>
      <c r="K38" s="711"/>
      <c r="L38" s="711"/>
      <c r="M38" s="711"/>
      <c r="N38" s="711"/>
      <c r="O38" s="711"/>
      <c r="P38" s="711"/>
      <c r="Q38" s="711"/>
      <c r="R38" s="693"/>
      <c r="S38" s="693"/>
    </row>
    <row r="39" spans="1:19" ht="14.25" customHeight="1">
      <c r="A39" s="690">
        <f>A37+1</f>
        <v>25</v>
      </c>
      <c r="B39" s="701" t="s">
        <v>1116</v>
      </c>
      <c r="C39" s="696" t="s">
        <v>1117</v>
      </c>
      <c r="D39" s="729">
        <v>55115</v>
      </c>
      <c r="E39" s="698">
        <v>55155</v>
      </c>
      <c r="F39" s="730">
        <v>54662</v>
      </c>
      <c r="G39" s="697">
        <v>55115</v>
      </c>
      <c r="H39" s="697"/>
      <c r="I39" s="697"/>
      <c r="J39" s="697"/>
      <c r="K39" s="697"/>
      <c r="L39" s="697"/>
      <c r="M39" s="697"/>
      <c r="N39" s="697"/>
      <c r="O39" s="697"/>
      <c r="P39" s="697"/>
      <c r="Q39" s="697"/>
      <c r="R39" s="693">
        <v>99.17808219178083</v>
      </c>
      <c r="S39" s="693">
        <v>100.82872928176796</v>
      </c>
    </row>
    <row r="40" spans="1:19" ht="14.25" customHeight="1">
      <c r="A40" s="690">
        <f>A39+1</f>
        <v>26</v>
      </c>
      <c r="B40" s="701" t="s">
        <v>1118</v>
      </c>
      <c r="C40" s="696" t="s">
        <v>1117</v>
      </c>
      <c r="D40" s="731">
        <v>85410</v>
      </c>
      <c r="E40" s="732">
        <v>85410</v>
      </c>
      <c r="F40" s="730">
        <v>84708</v>
      </c>
      <c r="G40" s="730">
        <v>85410</v>
      </c>
      <c r="H40" s="730"/>
      <c r="I40" s="730"/>
      <c r="J40" s="730"/>
      <c r="K40" s="730"/>
      <c r="L40" s="730"/>
      <c r="M40" s="730"/>
      <c r="N40" s="730"/>
      <c r="O40" s="730"/>
      <c r="P40" s="730"/>
      <c r="Q40" s="730"/>
      <c r="R40" s="693">
        <v>99.17808219178083</v>
      </c>
      <c r="S40" s="693">
        <v>100.82872928176796</v>
      </c>
    </row>
    <row r="41" spans="1:19" ht="25.5" customHeight="1">
      <c r="A41" s="690">
        <f aca="true" t="shared" si="0" ref="A41:A51">A40+1</f>
        <v>27</v>
      </c>
      <c r="B41" s="701" t="s">
        <v>1119</v>
      </c>
      <c r="C41" s="696" t="s">
        <v>1117</v>
      </c>
      <c r="D41" s="733">
        <v>65700</v>
      </c>
      <c r="E41" s="698">
        <v>65700</v>
      </c>
      <c r="F41" s="724">
        <v>46590</v>
      </c>
      <c r="G41" s="697">
        <v>65700</v>
      </c>
      <c r="H41" s="697"/>
      <c r="I41" s="697"/>
      <c r="J41" s="697"/>
      <c r="K41" s="697"/>
      <c r="L41" s="697"/>
      <c r="M41" s="697"/>
      <c r="N41" s="697"/>
      <c r="O41" s="697"/>
      <c r="P41" s="697"/>
      <c r="Q41" s="697"/>
      <c r="R41" s="693">
        <v>70.91324200913242</v>
      </c>
      <c r="S41" s="693">
        <v>141.01738570508692</v>
      </c>
    </row>
    <row r="42" spans="1:19" ht="25.5" customHeight="1">
      <c r="A42" s="690">
        <f t="shared" si="0"/>
        <v>28</v>
      </c>
      <c r="B42" s="701" t="s">
        <v>1120</v>
      </c>
      <c r="C42" s="696" t="s">
        <v>21</v>
      </c>
      <c r="D42" s="703">
        <v>77</v>
      </c>
      <c r="E42" s="713">
        <v>77</v>
      </c>
      <c r="F42" s="734">
        <v>55</v>
      </c>
      <c r="G42" s="703">
        <v>77</v>
      </c>
      <c r="H42" s="703"/>
      <c r="I42" s="703"/>
      <c r="J42" s="703"/>
      <c r="K42" s="703"/>
      <c r="L42" s="703"/>
      <c r="M42" s="703"/>
      <c r="N42" s="703"/>
      <c r="O42" s="703"/>
      <c r="P42" s="703"/>
      <c r="Q42" s="703"/>
      <c r="R42" s="693">
        <v>71.42857142857143</v>
      </c>
      <c r="S42" s="693">
        <v>140</v>
      </c>
    </row>
    <row r="43" spans="1:19" ht="14.25" customHeight="1">
      <c r="A43" s="690">
        <f t="shared" si="0"/>
        <v>29</v>
      </c>
      <c r="B43" s="701" t="s">
        <v>1121</v>
      </c>
      <c r="C43" s="696" t="s">
        <v>1122</v>
      </c>
      <c r="D43" s="697">
        <v>46</v>
      </c>
      <c r="E43" s="698">
        <v>55</v>
      </c>
      <c r="F43" s="697">
        <v>50</v>
      </c>
      <c r="G43" s="697">
        <v>65</v>
      </c>
      <c r="H43" s="697"/>
      <c r="I43" s="697"/>
      <c r="J43" s="697"/>
      <c r="K43" s="697"/>
      <c r="L43" s="697"/>
      <c r="M43" s="697"/>
      <c r="N43" s="697"/>
      <c r="O43" s="697"/>
      <c r="P43" s="697"/>
      <c r="Q43" s="697"/>
      <c r="R43" s="693">
        <v>108.69565217391303</v>
      </c>
      <c r="S43" s="693">
        <v>130</v>
      </c>
    </row>
    <row r="44" spans="1:19" ht="14.25" customHeight="1">
      <c r="A44" s="690">
        <f t="shared" si="0"/>
        <v>30</v>
      </c>
      <c r="B44" s="701" t="s">
        <v>1123</v>
      </c>
      <c r="C44" s="696" t="s">
        <v>85</v>
      </c>
      <c r="D44" s="697">
        <v>46</v>
      </c>
      <c r="E44" s="698">
        <v>55</v>
      </c>
      <c r="F44" s="697">
        <v>50</v>
      </c>
      <c r="G44" s="697">
        <v>65</v>
      </c>
      <c r="H44" s="697"/>
      <c r="I44" s="697"/>
      <c r="J44" s="697"/>
      <c r="K44" s="697"/>
      <c r="L44" s="697"/>
      <c r="M44" s="697"/>
      <c r="N44" s="697"/>
      <c r="O44" s="697"/>
      <c r="P44" s="697"/>
      <c r="Q44" s="697"/>
      <c r="R44" s="693">
        <v>108.69565217391303</v>
      </c>
      <c r="S44" s="693">
        <v>130</v>
      </c>
    </row>
    <row r="45" spans="1:19" ht="14.25" customHeight="1">
      <c r="A45" s="690">
        <f t="shared" si="0"/>
        <v>31</v>
      </c>
      <c r="B45" s="701" t="s">
        <v>1124</v>
      </c>
      <c r="C45" s="696" t="s">
        <v>21</v>
      </c>
      <c r="D45" s="734">
        <v>35</v>
      </c>
      <c r="E45" s="708">
        <v>42.3</v>
      </c>
      <c r="F45" s="734">
        <v>38</v>
      </c>
      <c r="G45" s="707">
        <v>50</v>
      </c>
      <c r="H45" s="707"/>
      <c r="I45" s="707"/>
      <c r="J45" s="707"/>
      <c r="K45" s="707"/>
      <c r="L45" s="707"/>
      <c r="M45" s="707"/>
      <c r="N45" s="707"/>
      <c r="O45" s="707"/>
      <c r="P45" s="707"/>
      <c r="Q45" s="707"/>
      <c r="R45" s="693">
        <v>108.57142857142857</v>
      </c>
      <c r="S45" s="693">
        <v>131.57894736842107</v>
      </c>
    </row>
    <row r="46" spans="1:19" ht="14.25" customHeight="1">
      <c r="A46" s="690">
        <f t="shared" si="0"/>
        <v>32</v>
      </c>
      <c r="B46" s="701" t="s">
        <v>1125</v>
      </c>
      <c r="C46" s="696" t="s">
        <v>127</v>
      </c>
      <c r="D46" s="731">
        <v>120546</v>
      </c>
      <c r="E46" s="698">
        <v>122596</v>
      </c>
      <c r="F46" s="697">
        <v>122596</v>
      </c>
      <c r="G46" s="697">
        <v>124683</v>
      </c>
      <c r="H46" s="697"/>
      <c r="I46" s="697"/>
      <c r="J46" s="697"/>
      <c r="K46" s="697"/>
      <c r="L46" s="697"/>
      <c r="M46" s="697"/>
      <c r="N46" s="697"/>
      <c r="O46" s="697"/>
      <c r="P46" s="697"/>
      <c r="Q46" s="697"/>
      <c r="R46" s="693">
        <v>101.70059562324755</v>
      </c>
      <c r="S46" s="693">
        <v>101.702339391171</v>
      </c>
    </row>
    <row r="47" spans="1:19" ht="14.25" customHeight="1">
      <c r="A47" s="690">
        <f t="shared" si="0"/>
        <v>33</v>
      </c>
      <c r="B47" s="701" t="s">
        <v>1126</v>
      </c>
      <c r="C47" s="696" t="s">
        <v>21</v>
      </c>
      <c r="D47" s="735">
        <v>100</v>
      </c>
      <c r="E47" s="736">
        <v>100</v>
      </c>
      <c r="F47" s="737">
        <v>100</v>
      </c>
      <c r="G47" s="737">
        <v>100</v>
      </c>
      <c r="H47" s="737"/>
      <c r="I47" s="737"/>
      <c r="J47" s="737"/>
      <c r="K47" s="737"/>
      <c r="L47" s="737"/>
      <c r="M47" s="737"/>
      <c r="N47" s="737"/>
      <c r="O47" s="737"/>
      <c r="P47" s="737"/>
      <c r="Q47" s="737"/>
      <c r="R47" s="693">
        <v>100</v>
      </c>
      <c r="S47" s="693">
        <v>100</v>
      </c>
    </row>
    <row r="48" spans="1:19" ht="22.5" customHeight="1">
      <c r="A48" s="690">
        <f t="shared" si="0"/>
        <v>34</v>
      </c>
      <c r="B48" s="722" t="s">
        <v>1127</v>
      </c>
      <c r="C48" s="696" t="s">
        <v>85</v>
      </c>
      <c r="D48" s="697">
        <v>130</v>
      </c>
      <c r="E48" s="698">
        <v>130</v>
      </c>
      <c r="F48" s="697">
        <v>130</v>
      </c>
      <c r="G48" s="697">
        <v>130</v>
      </c>
      <c r="H48" s="697"/>
      <c r="I48" s="697"/>
      <c r="J48" s="697"/>
      <c r="K48" s="697"/>
      <c r="L48" s="697"/>
      <c r="M48" s="697"/>
      <c r="N48" s="697"/>
      <c r="O48" s="697"/>
      <c r="P48" s="697"/>
      <c r="Q48" s="697"/>
      <c r="R48" s="693">
        <v>100</v>
      </c>
      <c r="S48" s="693">
        <v>100</v>
      </c>
    </row>
    <row r="49" spans="1:19" ht="14.25" customHeight="1">
      <c r="A49" s="690">
        <f t="shared" si="0"/>
        <v>35</v>
      </c>
      <c r="B49" s="701" t="s">
        <v>1128</v>
      </c>
      <c r="C49" s="696" t="s">
        <v>21</v>
      </c>
      <c r="D49" s="738">
        <v>100</v>
      </c>
      <c r="E49" s="739">
        <v>100</v>
      </c>
      <c r="F49" s="738">
        <v>100</v>
      </c>
      <c r="G49" s="738">
        <v>100</v>
      </c>
      <c r="H49" s="738"/>
      <c r="I49" s="738"/>
      <c r="J49" s="738"/>
      <c r="K49" s="738"/>
      <c r="L49" s="738"/>
      <c r="M49" s="738"/>
      <c r="N49" s="738"/>
      <c r="O49" s="738"/>
      <c r="P49" s="738"/>
      <c r="Q49" s="738"/>
      <c r="R49" s="693">
        <v>100</v>
      </c>
      <c r="S49" s="693">
        <v>100</v>
      </c>
    </row>
    <row r="50" spans="1:19" ht="14.25" customHeight="1">
      <c r="A50" s="690">
        <f t="shared" si="0"/>
        <v>36</v>
      </c>
      <c r="B50" s="701" t="s">
        <v>1129</v>
      </c>
      <c r="C50" s="696" t="s">
        <v>127</v>
      </c>
      <c r="D50" s="716">
        <v>120546</v>
      </c>
      <c r="E50" s="698">
        <v>122596</v>
      </c>
      <c r="F50" s="697">
        <v>122596</v>
      </c>
      <c r="G50" s="697">
        <v>124683</v>
      </c>
      <c r="H50" s="697"/>
      <c r="I50" s="697"/>
      <c r="J50" s="697"/>
      <c r="K50" s="697"/>
      <c r="L50" s="697"/>
      <c r="M50" s="697"/>
      <c r="N50" s="697"/>
      <c r="O50" s="697"/>
      <c r="P50" s="697"/>
      <c r="Q50" s="697"/>
      <c r="R50" s="693">
        <v>101.70059562324755</v>
      </c>
      <c r="S50" s="693">
        <v>101.702339391171</v>
      </c>
    </row>
    <row r="51" spans="1:19" ht="14.25" customHeight="1">
      <c r="A51" s="690">
        <f t="shared" si="0"/>
        <v>37</v>
      </c>
      <c r="B51" s="701" t="s">
        <v>1130</v>
      </c>
      <c r="C51" s="696" t="s">
        <v>21</v>
      </c>
      <c r="D51" s="740">
        <v>100</v>
      </c>
      <c r="E51" s="713">
        <v>100</v>
      </c>
      <c r="F51" s="703">
        <v>100</v>
      </c>
      <c r="G51" s="703">
        <v>100</v>
      </c>
      <c r="H51" s="703"/>
      <c r="I51" s="703"/>
      <c r="J51" s="703"/>
      <c r="K51" s="703"/>
      <c r="L51" s="703"/>
      <c r="M51" s="703"/>
      <c r="N51" s="703"/>
      <c r="O51" s="703"/>
      <c r="P51" s="703"/>
      <c r="Q51" s="703"/>
      <c r="R51" s="693">
        <v>100</v>
      </c>
      <c r="S51" s="693">
        <v>100</v>
      </c>
    </row>
    <row r="52" spans="1:19" ht="14.25" customHeight="1">
      <c r="A52" s="694" t="s">
        <v>122</v>
      </c>
      <c r="B52" s="695" t="s">
        <v>1131</v>
      </c>
      <c r="C52" s="689"/>
      <c r="D52" s="709"/>
      <c r="E52" s="710"/>
      <c r="F52" s="709"/>
      <c r="G52" s="711"/>
      <c r="H52" s="711"/>
      <c r="I52" s="711"/>
      <c r="J52" s="711"/>
      <c r="K52" s="711"/>
      <c r="L52" s="711"/>
      <c r="M52" s="711"/>
      <c r="N52" s="711"/>
      <c r="O52" s="711"/>
      <c r="P52" s="711"/>
      <c r="Q52" s="711"/>
      <c r="R52" s="693"/>
      <c r="S52" s="693"/>
    </row>
    <row r="53" spans="1:19" ht="14.25" customHeight="1">
      <c r="A53" s="690">
        <f>A51+1</f>
        <v>38</v>
      </c>
      <c r="B53" s="701" t="s">
        <v>1132</v>
      </c>
      <c r="C53" s="696" t="s">
        <v>1117</v>
      </c>
      <c r="D53" s="716">
        <v>263895</v>
      </c>
      <c r="E53" s="698">
        <v>263895</v>
      </c>
      <c r="F53" s="697">
        <v>268604</v>
      </c>
      <c r="G53" s="697">
        <v>268604</v>
      </c>
      <c r="H53" s="697"/>
      <c r="I53" s="697"/>
      <c r="J53" s="697"/>
      <c r="K53" s="697"/>
      <c r="L53" s="697"/>
      <c r="M53" s="697"/>
      <c r="N53" s="697"/>
      <c r="O53" s="697"/>
      <c r="P53" s="697"/>
      <c r="Q53" s="697"/>
      <c r="R53" s="693">
        <v>101.78442183444172</v>
      </c>
      <c r="S53" s="693">
        <v>100</v>
      </c>
    </row>
    <row r="54" spans="1:19" ht="25.5" customHeight="1">
      <c r="A54" s="690">
        <f>A53+1</f>
        <v>39</v>
      </c>
      <c r="B54" s="701" t="s">
        <v>1133</v>
      </c>
      <c r="C54" s="696" t="s">
        <v>1117</v>
      </c>
      <c r="D54" s="716">
        <v>111690</v>
      </c>
      <c r="E54" s="698">
        <v>111690</v>
      </c>
      <c r="F54" s="697">
        <v>117416</v>
      </c>
      <c r="G54" s="697">
        <v>117416</v>
      </c>
      <c r="H54" s="697"/>
      <c r="I54" s="697"/>
      <c r="J54" s="697"/>
      <c r="K54" s="697"/>
      <c r="L54" s="697"/>
      <c r="M54" s="697"/>
      <c r="N54" s="697"/>
      <c r="O54" s="697"/>
      <c r="P54" s="697"/>
      <c r="Q54" s="697"/>
      <c r="R54" s="693">
        <v>105.12668994538454</v>
      </c>
      <c r="S54" s="693">
        <v>100</v>
      </c>
    </row>
    <row r="55" spans="1:19" ht="14.25" customHeight="1">
      <c r="A55" s="690">
        <f aca="true" t="shared" si="1" ref="A55:A60">A54+1</f>
        <v>40</v>
      </c>
      <c r="B55" s="701" t="s">
        <v>1134</v>
      </c>
      <c r="C55" s="696" t="s">
        <v>127</v>
      </c>
      <c r="D55" s="741">
        <v>120546</v>
      </c>
      <c r="E55" s="741">
        <v>122596</v>
      </c>
      <c r="F55" s="741">
        <v>122596</v>
      </c>
      <c r="G55" s="741">
        <v>124683</v>
      </c>
      <c r="H55" s="741"/>
      <c r="I55" s="741"/>
      <c r="J55" s="741"/>
      <c r="K55" s="741"/>
      <c r="L55" s="741"/>
      <c r="M55" s="741"/>
      <c r="N55" s="741"/>
      <c r="O55" s="741"/>
      <c r="P55" s="741"/>
      <c r="Q55" s="741"/>
      <c r="R55" s="693">
        <v>101.70059562324755</v>
      </c>
      <c r="S55" s="693">
        <v>101.702339391171</v>
      </c>
    </row>
    <row r="56" spans="1:19" ht="14.25" customHeight="1">
      <c r="A56" s="690">
        <f t="shared" si="1"/>
        <v>41</v>
      </c>
      <c r="B56" s="701" t="s">
        <v>1135</v>
      </c>
      <c r="C56" s="696" t="s">
        <v>21</v>
      </c>
      <c r="D56" s="742">
        <v>100</v>
      </c>
      <c r="E56" s="742">
        <v>100</v>
      </c>
      <c r="F56" s="742">
        <v>100</v>
      </c>
      <c r="G56" s="742">
        <v>100</v>
      </c>
      <c r="H56" s="742"/>
      <c r="I56" s="742"/>
      <c r="J56" s="742"/>
      <c r="K56" s="742"/>
      <c r="L56" s="742"/>
      <c r="M56" s="742"/>
      <c r="N56" s="742"/>
      <c r="O56" s="742"/>
      <c r="P56" s="742"/>
      <c r="Q56" s="742"/>
      <c r="R56" s="693">
        <v>100</v>
      </c>
      <c r="S56" s="693">
        <v>100</v>
      </c>
    </row>
    <row r="57" spans="1:19" ht="14.25" customHeight="1">
      <c r="A57" s="690">
        <f t="shared" si="1"/>
        <v>42</v>
      </c>
      <c r="B57" s="701" t="s">
        <v>1136</v>
      </c>
      <c r="C57" s="696" t="s">
        <v>85</v>
      </c>
      <c r="D57" s="743">
        <v>130</v>
      </c>
      <c r="E57" s="744">
        <v>130</v>
      </c>
      <c r="F57" s="743">
        <v>130</v>
      </c>
      <c r="G57" s="744">
        <v>130</v>
      </c>
      <c r="H57" s="744"/>
      <c r="I57" s="744"/>
      <c r="J57" s="744"/>
      <c r="K57" s="744"/>
      <c r="L57" s="744"/>
      <c r="M57" s="744"/>
      <c r="N57" s="744"/>
      <c r="O57" s="744"/>
      <c r="P57" s="744"/>
      <c r="Q57" s="744"/>
      <c r="R57" s="693">
        <v>100</v>
      </c>
      <c r="S57" s="693">
        <v>100</v>
      </c>
    </row>
    <row r="58" spans="1:19" ht="14.25" customHeight="1">
      <c r="A58" s="690">
        <f t="shared" si="1"/>
        <v>43</v>
      </c>
      <c r="B58" s="701" t="s">
        <v>1137</v>
      </c>
      <c r="C58" s="696" t="s">
        <v>21</v>
      </c>
      <c r="D58" s="745">
        <v>100</v>
      </c>
      <c r="E58" s="742">
        <v>100</v>
      </c>
      <c r="F58" s="745">
        <v>100</v>
      </c>
      <c r="G58" s="742">
        <v>100</v>
      </c>
      <c r="H58" s="742"/>
      <c r="I58" s="742"/>
      <c r="J58" s="742"/>
      <c r="K58" s="742"/>
      <c r="L58" s="742"/>
      <c r="M58" s="742"/>
      <c r="N58" s="742"/>
      <c r="O58" s="742"/>
      <c r="P58" s="742"/>
      <c r="Q58" s="742"/>
      <c r="R58" s="693">
        <v>100</v>
      </c>
      <c r="S58" s="693">
        <v>100</v>
      </c>
    </row>
    <row r="59" spans="1:19" ht="14.25" customHeight="1">
      <c r="A59" s="690">
        <f t="shared" si="1"/>
        <v>44</v>
      </c>
      <c r="B59" s="701" t="s">
        <v>1138</v>
      </c>
      <c r="C59" s="696" t="s">
        <v>127</v>
      </c>
      <c r="D59" s="746">
        <v>120546</v>
      </c>
      <c r="E59" s="744">
        <v>122596</v>
      </c>
      <c r="F59" s="746">
        <v>122596</v>
      </c>
      <c r="G59" s="744">
        <v>124683</v>
      </c>
      <c r="H59" s="744"/>
      <c r="I59" s="744"/>
      <c r="J59" s="744"/>
      <c r="K59" s="744"/>
      <c r="L59" s="744"/>
      <c r="M59" s="744"/>
      <c r="N59" s="744"/>
      <c r="O59" s="744"/>
      <c r="P59" s="744"/>
      <c r="Q59" s="744"/>
      <c r="R59" s="693">
        <v>101.70059562324755</v>
      </c>
      <c r="S59" s="693">
        <v>101.702339391171</v>
      </c>
    </row>
    <row r="60" spans="1:19" ht="14.25" customHeight="1">
      <c r="A60" s="690">
        <f t="shared" si="1"/>
        <v>45</v>
      </c>
      <c r="B60" s="701" t="s">
        <v>1139</v>
      </c>
      <c r="C60" s="696" t="s">
        <v>21</v>
      </c>
      <c r="D60" s="742">
        <v>100</v>
      </c>
      <c r="E60" s="742">
        <v>100</v>
      </c>
      <c r="F60" s="742">
        <v>100</v>
      </c>
      <c r="G60" s="742">
        <v>100</v>
      </c>
      <c r="H60" s="742"/>
      <c r="I60" s="742"/>
      <c r="J60" s="742"/>
      <c r="K60" s="742"/>
      <c r="L60" s="742"/>
      <c r="M60" s="742"/>
      <c r="N60" s="742"/>
      <c r="O60" s="742"/>
      <c r="P60" s="742"/>
      <c r="Q60" s="742"/>
      <c r="R60" s="693">
        <v>100</v>
      </c>
      <c r="S60" s="693">
        <v>100</v>
      </c>
    </row>
    <row r="61" spans="1:19" ht="14.25" customHeight="1">
      <c r="A61" s="747" t="s">
        <v>101</v>
      </c>
      <c r="B61" s="748" t="s">
        <v>1140</v>
      </c>
      <c r="C61" s="749"/>
      <c r="D61" s="750"/>
      <c r="E61" s="751"/>
      <c r="F61" s="750"/>
      <c r="G61" s="752"/>
      <c r="H61" s="752"/>
      <c r="I61" s="752"/>
      <c r="J61" s="752"/>
      <c r="K61" s="752"/>
      <c r="L61" s="752"/>
      <c r="M61" s="752"/>
      <c r="N61" s="752"/>
      <c r="O61" s="752"/>
      <c r="P61" s="752"/>
      <c r="Q61" s="752"/>
      <c r="R61" s="693"/>
      <c r="S61" s="693"/>
    </row>
    <row r="62" spans="1:19" ht="27.75" customHeight="1">
      <c r="A62" s="747">
        <v>46</v>
      </c>
      <c r="B62" s="753" t="s">
        <v>1141</v>
      </c>
      <c r="C62" s="749"/>
      <c r="D62" s="750">
        <v>2974</v>
      </c>
      <c r="E62" s="751">
        <v>3583</v>
      </c>
      <c r="F62" s="750">
        <v>4314</v>
      </c>
      <c r="G62" s="752">
        <v>4514</v>
      </c>
      <c r="H62" s="752"/>
      <c r="I62" s="752"/>
      <c r="J62" s="752"/>
      <c r="K62" s="752"/>
      <c r="L62" s="752"/>
      <c r="M62" s="752"/>
      <c r="N62" s="752"/>
      <c r="O62" s="752"/>
      <c r="P62" s="752"/>
      <c r="Q62" s="752"/>
      <c r="R62" s="693">
        <v>145.05716207128447</v>
      </c>
      <c r="S62" s="693">
        <v>104.6360686138155</v>
      </c>
    </row>
    <row r="63" spans="1:19" ht="14.25" customHeight="1">
      <c r="A63" s="1381"/>
      <c r="B63" s="754" t="s">
        <v>1142</v>
      </c>
      <c r="C63" s="1385" t="s">
        <v>1143</v>
      </c>
      <c r="D63" s="755">
        <v>96</v>
      </c>
      <c r="E63" s="756">
        <v>96</v>
      </c>
      <c r="F63" s="757">
        <v>96</v>
      </c>
      <c r="G63" s="757">
        <v>96</v>
      </c>
      <c r="H63" s="757"/>
      <c r="I63" s="757"/>
      <c r="J63" s="757"/>
      <c r="K63" s="757"/>
      <c r="L63" s="757"/>
      <c r="M63" s="757"/>
      <c r="N63" s="757"/>
      <c r="O63" s="757"/>
      <c r="P63" s="757"/>
      <c r="Q63" s="757"/>
      <c r="R63" s="693">
        <v>100</v>
      </c>
      <c r="S63" s="693">
        <v>100</v>
      </c>
    </row>
    <row r="64" spans="1:19" ht="14.25" customHeight="1">
      <c r="A64" s="1381"/>
      <c r="B64" s="758" t="s">
        <v>1144</v>
      </c>
      <c r="C64" s="1386"/>
      <c r="D64" s="759">
        <v>2878</v>
      </c>
      <c r="E64" s="759">
        <v>3487</v>
      </c>
      <c r="F64" s="759">
        <v>4118</v>
      </c>
      <c r="G64" s="759">
        <v>4418</v>
      </c>
      <c r="H64" s="759"/>
      <c r="I64" s="759"/>
      <c r="J64" s="759"/>
      <c r="K64" s="759"/>
      <c r="L64" s="759"/>
      <c r="M64" s="759"/>
      <c r="N64" s="759"/>
      <c r="O64" s="759"/>
      <c r="P64" s="759"/>
      <c r="Q64" s="759"/>
      <c r="R64" s="693">
        <v>143.08547602501739</v>
      </c>
      <c r="S64" s="693">
        <v>107.28508984944148</v>
      </c>
    </row>
    <row r="65" spans="1:19" ht="32.25" customHeight="1">
      <c r="A65" s="690">
        <v>47</v>
      </c>
      <c r="B65" s="760" t="s">
        <v>1145</v>
      </c>
      <c r="C65" s="696"/>
      <c r="D65" s="761"/>
      <c r="E65" s="762"/>
      <c r="F65" s="762"/>
      <c r="G65" s="762"/>
      <c r="H65" s="762"/>
      <c r="I65" s="762"/>
      <c r="J65" s="762"/>
      <c r="K65" s="762"/>
      <c r="L65" s="762"/>
      <c r="M65" s="762"/>
      <c r="N65" s="762"/>
      <c r="O65" s="762"/>
      <c r="P65" s="762"/>
      <c r="Q65" s="762"/>
      <c r="R65" s="693"/>
      <c r="S65" s="693"/>
    </row>
    <row r="66" spans="1:19" ht="14.25" customHeight="1">
      <c r="A66" s="1381"/>
      <c r="B66" s="763" t="s">
        <v>1146</v>
      </c>
      <c r="C66" s="1387" t="s">
        <v>21</v>
      </c>
      <c r="D66" s="755">
        <v>100</v>
      </c>
      <c r="E66" s="764">
        <v>100</v>
      </c>
      <c r="F66" s="765">
        <v>100</v>
      </c>
      <c r="G66" s="765">
        <v>100</v>
      </c>
      <c r="H66" s="765"/>
      <c r="I66" s="765"/>
      <c r="J66" s="765"/>
      <c r="K66" s="765"/>
      <c r="L66" s="765"/>
      <c r="M66" s="765"/>
      <c r="N66" s="765"/>
      <c r="O66" s="765"/>
      <c r="P66" s="765"/>
      <c r="Q66" s="765"/>
      <c r="R66" s="693">
        <v>100</v>
      </c>
      <c r="S66" s="693">
        <v>100</v>
      </c>
    </row>
    <row r="67" spans="1:19" ht="14.25" customHeight="1">
      <c r="A67" s="1381"/>
      <c r="B67" s="766" t="s">
        <v>1147</v>
      </c>
      <c r="C67" s="1388"/>
      <c r="D67" s="767">
        <v>100</v>
      </c>
      <c r="E67" s="768">
        <v>100</v>
      </c>
      <c r="F67" s="769">
        <v>100</v>
      </c>
      <c r="G67" s="769">
        <v>100</v>
      </c>
      <c r="H67" s="769"/>
      <c r="I67" s="769"/>
      <c r="J67" s="769"/>
      <c r="K67" s="769"/>
      <c r="L67" s="769"/>
      <c r="M67" s="769"/>
      <c r="N67" s="769"/>
      <c r="O67" s="769"/>
      <c r="P67" s="769"/>
      <c r="Q67" s="769"/>
      <c r="R67" s="693">
        <v>100</v>
      </c>
      <c r="S67" s="693">
        <v>100</v>
      </c>
    </row>
    <row r="68" spans="1:19" ht="14.25" customHeight="1">
      <c r="A68" s="1381"/>
      <c r="B68" s="770" t="s">
        <v>1148</v>
      </c>
      <c r="C68" s="1389"/>
      <c r="D68" s="759">
        <v>45</v>
      </c>
      <c r="E68" s="771">
        <v>50</v>
      </c>
      <c r="F68" s="772">
        <v>77</v>
      </c>
      <c r="G68" s="772">
        <v>80</v>
      </c>
      <c r="H68" s="772"/>
      <c r="I68" s="772"/>
      <c r="J68" s="772"/>
      <c r="K68" s="772"/>
      <c r="L68" s="772"/>
      <c r="M68" s="772"/>
      <c r="N68" s="772"/>
      <c r="O68" s="772"/>
      <c r="P68" s="772"/>
      <c r="Q68" s="772"/>
      <c r="R68" s="693">
        <f>+F68/D68*100</f>
        <v>171.11111111111111</v>
      </c>
      <c r="S68" s="693">
        <v>103.89610389610388</v>
      </c>
    </row>
    <row r="69" spans="1:19" ht="14.25" customHeight="1">
      <c r="A69" s="690">
        <v>48</v>
      </c>
      <c r="B69" s="773" t="s">
        <v>1149</v>
      </c>
      <c r="C69" s="690"/>
      <c r="D69" s="761"/>
      <c r="E69" s="774"/>
      <c r="F69" s="711"/>
      <c r="G69" s="711"/>
      <c r="H69" s="711"/>
      <c r="I69" s="711"/>
      <c r="J69" s="711"/>
      <c r="K69" s="711"/>
      <c r="L69" s="711"/>
      <c r="M69" s="711"/>
      <c r="N69" s="711"/>
      <c r="O69" s="711"/>
      <c r="P69" s="711"/>
      <c r="Q69" s="711"/>
      <c r="R69" s="693"/>
      <c r="S69" s="693"/>
    </row>
    <row r="70" spans="1:19" ht="14.25" customHeight="1">
      <c r="A70" s="1381"/>
      <c r="B70" s="775" t="s">
        <v>1146</v>
      </c>
      <c r="C70" s="1390" t="s">
        <v>21</v>
      </c>
      <c r="D70" s="776">
        <v>99</v>
      </c>
      <c r="E70" s="777">
        <v>99</v>
      </c>
      <c r="F70" s="778">
        <v>100</v>
      </c>
      <c r="G70" s="778">
        <v>100</v>
      </c>
      <c r="H70" s="778"/>
      <c r="I70" s="778"/>
      <c r="J70" s="778"/>
      <c r="K70" s="778"/>
      <c r="L70" s="778"/>
      <c r="M70" s="778"/>
      <c r="N70" s="778"/>
      <c r="O70" s="778"/>
      <c r="P70" s="778"/>
      <c r="Q70" s="778"/>
      <c r="R70" s="693">
        <v>101.01010101010101</v>
      </c>
      <c r="S70" s="693">
        <v>100</v>
      </c>
    </row>
    <row r="71" spans="1:19" ht="14.25" customHeight="1">
      <c r="A71" s="1381"/>
      <c r="B71" s="779" t="s">
        <v>1147</v>
      </c>
      <c r="C71" s="1391"/>
      <c r="D71" s="776">
        <v>99</v>
      </c>
      <c r="E71" s="780">
        <v>95</v>
      </c>
      <c r="F71" s="781">
        <v>100</v>
      </c>
      <c r="G71" s="781">
        <v>100</v>
      </c>
      <c r="H71" s="781"/>
      <c r="I71" s="781"/>
      <c r="J71" s="781"/>
      <c r="K71" s="781"/>
      <c r="L71" s="781"/>
      <c r="M71" s="781"/>
      <c r="N71" s="781"/>
      <c r="O71" s="781"/>
      <c r="P71" s="781"/>
      <c r="Q71" s="781"/>
      <c r="R71" s="693">
        <v>101.01010101010101</v>
      </c>
      <c r="S71" s="693">
        <v>100</v>
      </c>
    </row>
    <row r="72" spans="1:19" ht="14.25" customHeight="1">
      <c r="A72" s="1381"/>
      <c r="B72" s="782" t="s">
        <v>1148</v>
      </c>
      <c r="C72" s="1392"/>
      <c r="D72" s="776">
        <v>50</v>
      </c>
      <c r="E72" s="783">
        <v>50</v>
      </c>
      <c r="F72" s="784">
        <v>52</v>
      </c>
      <c r="G72" s="784">
        <v>60</v>
      </c>
      <c r="H72" s="784"/>
      <c r="I72" s="784"/>
      <c r="J72" s="784"/>
      <c r="K72" s="784"/>
      <c r="L72" s="784"/>
      <c r="M72" s="784"/>
      <c r="N72" s="784"/>
      <c r="O72" s="784"/>
      <c r="P72" s="784"/>
      <c r="Q72" s="784"/>
      <c r="R72" s="693">
        <v>104</v>
      </c>
      <c r="S72" s="693">
        <v>115.38461538461537</v>
      </c>
    </row>
    <row r="73" spans="1:19" ht="42.75" customHeight="1">
      <c r="A73" s="690">
        <v>49</v>
      </c>
      <c r="B73" s="725" t="s">
        <v>1150</v>
      </c>
      <c r="C73" s="785" t="s">
        <v>21</v>
      </c>
      <c r="D73" s="786">
        <v>100</v>
      </c>
      <c r="E73" s="787">
        <v>100</v>
      </c>
      <c r="F73" s="788">
        <v>100</v>
      </c>
      <c r="G73" s="789">
        <v>100</v>
      </c>
      <c r="H73" s="789"/>
      <c r="I73" s="789"/>
      <c r="J73" s="789"/>
      <c r="K73" s="789"/>
      <c r="L73" s="789"/>
      <c r="M73" s="789"/>
      <c r="N73" s="789"/>
      <c r="O73" s="789"/>
      <c r="P73" s="789"/>
      <c r="Q73" s="789"/>
      <c r="R73" s="693">
        <v>100</v>
      </c>
      <c r="S73" s="693">
        <v>100</v>
      </c>
    </row>
    <row r="74" spans="1:19" ht="29.25" customHeight="1">
      <c r="A74" s="690">
        <v>50</v>
      </c>
      <c r="B74" s="725" t="s">
        <v>1151</v>
      </c>
      <c r="C74" s="785"/>
      <c r="D74" s="790"/>
      <c r="E74" s="787"/>
      <c r="F74" s="788"/>
      <c r="G74" s="789"/>
      <c r="H74" s="789"/>
      <c r="I74" s="789"/>
      <c r="J74" s="789"/>
      <c r="K74" s="789"/>
      <c r="L74" s="789"/>
      <c r="M74" s="789"/>
      <c r="N74" s="789"/>
      <c r="O74" s="789"/>
      <c r="P74" s="789"/>
      <c r="Q74" s="789"/>
      <c r="R74" s="693"/>
      <c r="S74" s="693"/>
    </row>
    <row r="75" spans="1:19" ht="14.25" customHeight="1">
      <c r="A75" s="1381"/>
      <c r="B75" s="763" t="s">
        <v>1146</v>
      </c>
      <c r="C75" s="1382" t="s">
        <v>21</v>
      </c>
      <c r="D75" s="791">
        <v>95</v>
      </c>
      <c r="E75" s="792">
        <v>100</v>
      </c>
      <c r="F75" s="793">
        <v>100</v>
      </c>
      <c r="G75" s="793">
        <v>100</v>
      </c>
      <c r="H75" s="793"/>
      <c r="I75" s="793"/>
      <c r="J75" s="793"/>
      <c r="K75" s="793"/>
      <c r="L75" s="793"/>
      <c r="M75" s="793"/>
      <c r="N75" s="793"/>
      <c r="O75" s="793"/>
      <c r="P75" s="793"/>
      <c r="Q75" s="793"/>
      <c r="R75" s="693">
        <v>105.26315789473684</v>
      </c>
      <c r="S75" s="693">
        <v>100</v>
      </c>
    </row>
    <row r="76" spans="1:19" ht="14.25" customHeight="1">
      <c r="A76" s="1381"/>
      <c r="B76" s="766" t="s">
        <v>1147</v>
      </c>
      <c r="C76" s="1383"/>
      <c r="D76" s="794">
        <v>92</v>
      </c>
      <c r="E76" s="795">
        <v>100</v>
      </c>
      <c r="F76" s="796">
        <v>100</v>
      </c>
      <c r="G76" s="796">
        <v>100</v>
      </c>
      <c r="H76" s="796"/>
      <c r="I76" s="796"/>
      <c r="J76" s="796"/>
      <c r="K76" s="796"/>
      <c r="L76" s="796"/>
      <c r="M76" s="796"/>
      <c r="N76" s="796"/>
      <c r="O76" s="796"/>
      <c r="P76" s="796"/>
      <c r="Q76" s="796"/>
      <c r="R76" s="693">
        <v>108.69565217391303</v>
      </c>
      <c r="S76" s="693">
        <v>100</v>
      </c>
    </row>
    <row r="77" spans="1:19" ht="14.25" customHeight="1">
      <c r="A77" s="1381"/>
      <c r="B77" s="770" t="s">
        <v>1148</v>
      </c>
      <c r="C77" s="1384"/>
      <c r="D77" s="797">
        <v>47</v>
      </c>
      <c r="E77" s="798">
        <v>50</v>
      </c>
      <c r="F77" s="799">
        <v>52</v>
      </c>
      <c r="G77" s="799">
        <v>55</v>
      </c>
      <c r="H77" s="799"/>
      <c r="I77" s="799"/>
      <c r="J77" s="799"/>
      <c r="K77" s="799"/>
      <c r="L77" s="799"/>
      <c r="M77" s="799"/>
      <c r="N77" s="799"/>
      <c r="O77" s="799"/>
      <c r="P77" s="799"/>
      <c r="Q77" s="799"/>
      <c r="R77" s="693">
        <v>110.63829787234043</v>
      </c>
      <c r="S77" s="693">
        <v>105.76923076923077</v>
      </c>
    </row>
    <row r="78" spans="1:19" ht="14.25" customHeight="1">
      <c r="A78" s="690">
        <v>51</v>
      </c>
      <c r="B78" s="800" t="s">
        <v>1190</v>
      </c>
      <c r="C78" s="800" t="s">
        <v>1191</v>
      </c>
      <c r="D78" s="801">
        <v>1699</v>
      </c>
      <c r="E78" s="801">
        <v>1703</v>
      </c>
      <c r="F78" s="801">
        <v>1747</v>
      </c>
      <c r="G78" s="801">
        <v>1750</v>
      </c>
      <c r="H78" s="801"/>
      <c r="I78" s="801"/>
      <c r="J78" s="801"/>
      <c r="K78" s="801"/>
      <c r="L78" s="801"/>
      <c r="M78" s="801"/>
      <c r="N78" s="801"/>
      <c r="O78" s="801"/>
      <c r="P78" s="801"/>
      <c r="Q78" s="801"/>
      <c r="R78" s="693">
        <v>102.82519128899352</v>
      </c>
      <c r="S78" s="693">
        <v>100.17172295363481</v>
      </c>
    </row>
    <row r="79" spans="1:19" ht="14.25" customHeight="1">
      <c r="A79" s="690">
        <v>52</v>
      </c>
      <c r="B79" s="800" t="s">
        <v>1192</v>
      </c>
      <c r="C79" s="800" t="s">
        <v>21</v>
      </c>
      <c r="D79" s="801">
        <v>99.8</v>
      </c>
      <c r="E79" s="801">
        <v>100</v>
      </c>
      <c r="F79" s="801">
        <v>100</v>
      </c>
      <c r="G79" s="801">
        <v>100</v>
      </c>
      <c r="H79" s="801"/>
      <c r="I79" s="801"/>
      <c r="J79" s="801"/>
      <c r="K79" s="801"/>
      <c r="L79" s="801"/>
      <c r="M79" s="801"/>
      <c r="N79" s="801"/>
      <c r="O79" s="801"/>
      <c r="P79" s="801"/>
      <c r="Q79" s="801"/>
      <c r="R79" s="693">
        <v>100.20040080160322</v>
      </c>
      <c r="S79" s="693">
        <v>100</v>
      </c>
    </row>
  </sheetData>
  <sheetProtection/>
  <mergeCells count="24">
    <mergeCell ref="A1:S1"/>
    <mergeCell ref="B2:S2"/>
    <mergeCell ref="A3:S3"/>
    <mergeCell ref="A4:A6"/>
    <mergeCell ref="B4:B6"/>
    <mergeCell ref="C4:C6"/>
    <mergeCell ref="D4:D6"/>
    <mergeCell ref="E4:F4"/>
    <mergeCell ref="G4:Q4"/>
    <mergeCell ref="R4:S4"/>
    <mergeCell ref="E5:E6"/>
    <mergeCell ref="F5:F6"/>
    <mergeCell ref="G5:G6"/>
    <mergeCell ref="H5:Q5"/>
    <mergeCell ref="R5:R6"/>
    <mergeCell ref="S5:S6"/>
    <mergeCell ref="A75:A77"/>
    <mergeCell ref="C75:C77"/>
    <mergeCell ref="A63:A64"/>
    <mergeCell ref="C63:C64"/>
    <mergeCell ref="A66:A68"/>
    <mergeCell ref="C66:C68"/>
    <mergeCell ref="A70:A72"/>
    <mergeCell ref="C70:C72"/>
  </mergeCells>
  <printOptions horizontalCentered="1"/>
  <pageMargins left="0.1968503937007874" right="0.1968503937007874" top="0.3937007874015748" bottom="0.35433070866141736" header="0.31496062992125984" footer="0.2755905511811024"/>
  <pageSetup horizontalDpi="600" verticalDpi="600" orientation="landscape" paperSize="9" scale="71" r:id="rId1"/>
  <colBreaks count="1" manualBreakCount="1">
    <brk id="19" max="65535" man="1"/>
  </colBreaks>
</worksheet>
</file>

<file path=xl/worksheets/sheet15.xml><?xml version="1.0" encoding="utf-8"?>
<worksheet xmlns="http://schemas.openxmlformats.org/spreadsheetml/2006/main" xmlns:r="http://schemas.openxmlformats.org/officeDocument/2006/relationships">
  <sheetPr>
    <pageSetUpPr fitToPage="1"/>
  </sheetPr>
  <dimension ref="A1:K41"/>
  <sheetViews>
    <sheetView tabSelected="1" view="pageBreakPreview" zoomScale="85" zoomScaleNormal="70" zoomScaleSheetLayoutView="85" zoomScalePageLayoutView="0" workbookViewId="0" topLeftCell="A7">
      <selection activeCell="G12" sqref="G12"/>
    </sheetView>
  </sheetViews>
  <sheetFormatPr defaultColWidth="10.00390625" defaultRowHeight="15.75"/>
  <cols>
    <col min="1" max="1" width="3.875" style="491" customWidth="1"/>
    <col min="2" max="2" width="42.875" style="473" customWidth="1"/>
    <col min="3" max="3" width="11.375" style="473" customWidth="1"/>
    <col min="4" max="4" width="11.125" style="473" customWidth="1"/>
    <col min="5" max="5" width="9.75390625" style="491" customWidth="1"/>
    <col min="6" max="7" width="10.625" style="491" customWidth="1"/>
    <col min="8" max="8" width="9.25390625" style="491" customWidth="1"/>
    <col min="9" max="10" width="10.75390625" style="491" customWidth="1"/>
    <col min="11" max="16384" width="10.00390625" style="473" customWidth="1"/>
  </cols>
  <sheetData>
    <row r="1" spans="1:10" ht="19.5">
      <c r="A1" s="1407"/>
      <c r="B1" s="1408"/>
      <c r="C1" s="1408"/>
      <c r="D1" s="471"/>
      <c r="E1" s="472"/>
      <c r="F1" s="472"/>
      <c r="G1" s="472"/>
      <c r="H1" s="472"/>
      <c r="I1" s="1409" t="s">
        <v>461</v>
      </c>
      <c r="J1" s="1409"/>
    </row>
    <row r="2" spans="1:10" ht="16.5">
      <c r="A2" s="1410" t="s">
        <v>1152</v>
      </c>
      <c r="B2" s="1410"/>
      <c r="C2" s="1410"/>
      <c r="D2" s="1410"/>
      <c r="E2" s="1410"/>
      <c r="F2" s="1410"/>
      <c r="G2" s="1410"/>
      <c r="H2" s="1410"/>
      <c r="I2" s="1410"/>
      <c r="J2" s="1410"/>
    </row>
    <row r="3" spans="1:10" ht="20.25" customHeight="1">
      <c r="A3" s="1410" t="s">
        <v>1153</v>
      </c>
      <c r="B3" s="1410"/>
      <c r="C3" s="1410"/>
      <c r="D3" s="1410"/>
      <c r="E3" s="1410"/>
      <c r="F3" s="1410"/>
      <c r="G3" s="1410"/>
      <c r="H3" s="1410"/>
      <c r="I3" s="1410"/>
      <c r="J3" s="1410"/>
    </row>
    <row r="4" spans="1:11" ht="20.25" customHeight="1">
      <c r="A4" s="1378" t="s">
        <v>1175</v>
      </c>
      <c r="B4" s="1378"/>
      <c r="C4" s="1378"/>
      <c r="D4" s="1378"/>
      <c r="E4" s="1378"/>
      <c r="F4" s="1378"/>
      <c r="G4" s="1378"/>
      <c r="H4" s="1378"/>
      <c r="I4" s="1378"/>
      <c r="J4" s="1378"/>
      <c r="K4" s="474"/>
    </row>
    <row r="5" spans="1:10" ht="15.75">
      <c r="A5" s="472"/>
      <c r="B5" s="471"/>
      <c r="C5" s="471"/>
      <c r="D5" s="471"/>
      <c r="E5" s="472"/>
      <c r="F5" s="472"/>
      <c r="G5" s="475"/>
      <c r="H5" s="475"/>
      <c r="I5" s="1406" t="s">
        <v>1154</v>
      </c>
      <c r="J5" s="1406"/>
    </row>
    <row r="6" spans="1:10" ht="23.25" customHeight="1">
      <c r="A6" s="1413" t="s">
        <v>2</v>
      </c>
      <c r="B6" s="1411"/>
      <c r="C6" s="1411" t="s">
        <v>1155</v>
      </c>
      <c r="D6" s="1411" t="s">
        <v>1156</v>
      </c>
      <c r="E6" s="1411" t="s">
        <v>1157</v>
      </c>
      <c r="F6" s="1414" t="s">
        <v>468</v>
      </c>
      <c r="G6" s="1415"/>
      <c r="H6" s="1411" t="s">
        <v>1174</v>
      </c>
      <c r="I6" s="1411"/>
      <c r="J6" s="1411"/>
    </row>
    <row r="7" spans="1:10" ht="18.75" customHeight="1">
      <c r="A7" s="1413"/>
      <c r="B7" s="1411"/>
      <c r="C7" s="1411"/>
      <c r="D7" s="1411"/>
      <c r="E7" s="1411"/>
      <c r="F7" s="1416"/>
      <c r="G7" s="1417"/>
      <c r="H7" s="1411" t="s">
        <v>299</v>
      </c>
      <c r="I7" s="1411" t="s">
        <v>528</v>
      </c>
      <c r="J7" s="1411"/>
    </row>
    <row r="8" spans="1:10" ht="51" customHeight="1">
      <c r="A8" s="1413"/>
      <c r="B8" s="1411"/>
      <c r="C8" s="1411"/>
      <c r="D8" s="1411"/>
      <c r="E8" s="1411"/>
      <c r="F8" s="476" t="s">
        <v>5</v>
      </c>
      <c r="G8" s="476" t="s">
        <v>7</v>
      </c>
      <c r="H8" s="1411"/>
      <c r="I8" s="898" t="s">
        <v>1158</v>
      </c>
      <c r="J8" s="898" t="s">
        <v>1159</v>
      </c>
    </row>
    <row r="9" spans="1:10" ht="30" customHeight="1">
      <c r="A9" s="899"/>
      <c r="B9" s="477" t="s">
        <v>305</v>
      </c>
      <c r="C9" s="478"/>
      <c r="D9" s="478"/>
      <c r="E9" s="479"/>
      <c r="F9" s="479"/>
      <c r="G9" s="479"/>
      <c r="H9" s="479"/>
      <c r="I9" s="479"/>
      <c r="J9" s="479"/>
    </row>
    <row r="10" spans="1:10" s="481" customFormat="1" ht="30" customHeight="1">
      <c r="A10" s="477" t="s">
        <v>107</v>
      </c>
      <c r="B10" s="480" t="s">
        <v>1302</v>
      </c>
      <c r="C10" s="480"/>
      <c r="D10" s="480"/>
      <c r="E10" s="479"/>
      <c r="F10" s="479"/>
      <c r="G10" s="479"/>
      <c r="H10" s="479"/>
      <c r="I10" s="479"/>
      <c r="J10" s="479"/>
    </row>
    <row r="11" spans="1:10" ht="51.75" customHeight="1">
      <c r="A11" s="482">
        <v>1</v>
      </c>
      <c r="B11" s="483" t="s">
        <v>1160</v>
      </c>
      <c r="C11" s="484" t="s">
        <v>1161</v>
      </c>
      <c r="D11" s="478" t="s">
        <v>1162</v>
      </c>
      <c r="E11" s="807">
        <v>1969.7</v>
      </c>
      <c r="F11" s="899">
        <v>0</v>
      </c>
      <c r="G11" s="899">
        <v>0</v>
      </c>
      <c r="H11" s="899"/>
      <c r="I11" s="899"/>
      <c r="J11" s="899"/>
    </row>
    <row r="12" spans="1:10" ht="51" customHeight="1">
      <c r="A12" s="482">
        <v>2</v>
      </c>
      <c r="B12" s="486" t="s">
        <v>1163</v>
      </c>
      <c r="C12" s="899" t="s">
        <v>1164</v>
      </c>
      <c r="D12" s="478" t="s">
        <v>526</v>
      </c>
      <c r="E12" s="899">
        <v>2679</v>
      </c>
      <c r="F12" s="899">
        <v>779</v>
      </c>
      <c r="G12" s="899">
        <v>0</v>
      </c>
      <c r="H12" s="899"/>
      <c r="I12" s="899"/>
      <c r="J12" s="899"/>
    </row>
    <row r="13" spans="1:10" ht="58.5" customHeight="1">
      <c r="A13" s="482">
        <v>3</v>
      </c>
      <c r="B13" s="486" t="s">
        <v>1165</v>
      </c>
      <c r="C13" s="899" t="s">
        <v>1164</v>
      </c>
      <c r="D13" s="486" t="s">
        <v>1166</v>
      </c>
      <c r="E13" s="808">
        <v>2882</v>
      </c>
      <c r="F13" s="899">
        <v>0</v>
      </c>
      <c r="G13" s="899">
        <v>0</v>
      </c>
      <c r="H13" s="899"/>
      <c r="I13" s="899"/>
      <c r="J13" s="899"/>
    </row>
    <row r="14" spans="1:10" ht="50.25" customHeight="1">
      <c r="A14" s="482">
        <v>4</v>
      </c>
      <c r="B14" s="486" t="s">
        <v>1167</v>
      </c>
      <c r="C14" s="899" t="s">
        <v>1164</v>
      </c>
      <c r="D14" s="486" t="s">
        <v>1166</v>
      </c>
      <c r="E14" s="485">
        <v>1080</v>
      </c>
      <c r="F14" s="899">
        <v>0</v>
      </c>
      <c r="G14" s="899">
        <v>0</v>
      </c>
      <c r="H14" s="899"/>
      <c r="I14" s="899"/>
      <c r="J14" s="899"/>
    </row>
    <row r="15" spans="1:10" s="489" customFormat="1" ht="24.75" customHeight="1">
      <c r="A15" s="809" t="s">
        <v>117</v>
      </c>
      <c r="B15" s="490" t="s">
        <v>1168</v>
      </c>
      <c r="C15" s="487"/>
      <c r="D15" s="487"/>
      <c r="E15" s="488"/>
      <c r="F15" s="487"/>
      <c r="G15" s="488"/>
      <c r="H15" s="487"/>
      <c r="I15" s="487"/>
      <c r="J15" s="487"/>
    </row>
    <row r="16" spans="1:10" s="817" customFormat="1" ht="37.5" customHeight="1">
      <c r="A16" s="810">
        <v>1</v>
      </c>
      <c r="B16" s="811" t="s">
        <v>1303</v>
      </c>
      <c r="C16" s="812" t="s">
        <v>1161</v>
      </c>
      <c r="D16" s="813" t="s">
        <v>1304</v>
      </c>
      <c r="E16" s="814"/>
      <c r="F16" s="815"/>
      <c r="G16" s="814"/>
      <c r="H16" s="816"/>
      <c r="I16" s="816"/>
      <c r="J16" s="816"/>
    </row>
    <row r="17" ht="15.75">
      <c r="B17" s="492"/>
    </row>
    <row r="18" spans="1:10" ht="42.75" customHeight="1">
      <c r="A18" s="1412"/>
      <c r="B18" s="1412"/>
      <c r="C18" s="1412"/>
      <c r="D18" s="1412"/>
      <c r="E18" s="1412"/>
      <c r="F18" s="1412"/>
      <c r="G18" s="1412"/>
      <c r="H18" s="1412"/>
      <c r="I18" s="1412"/>
      <c r="J18" s="1412"/>
    </row>
    <row r="19" ht="15.75">
      <c r="B19" s="492"/>
    </row>
    <row r="20" ht="15.75">
      <c r="B20" s="492"/>
    </row>
    <row r="21" ht="15.75">
      <c r="B21" s="492"/>
    </row>
    <row r="22" ht="15.75" customHeight="1">
      <c r="B22" s="492"/>
    </row>
    <row r="23" ht="15.75">
      <c r="B23" s="492"/>
    </row>
    <row r="24" ht="15.75">
      <c r="B24" s="492"/>
    </row>
    <row r="25" ht="15.75">
      <c r="B25" s="492"/>
    </row>
    <row r="26" ht="15.75">
      <c r="B26" s="492"/>
    </row>
    <row r="27" ht="15.75">
      <c r="B27" s="492"/>
    </row>
    <row r="28" spans="1:2" ht="15.75">
      <c r="A28" s="473"/>
      <c r="B28" s="492"/>
    </row>
    <row r="29" spans="1:2" ht="15.75">
      <c r="A29" s="473"/>
      <c r="B29" s="492"/>
    </row>
    <row r="30" spans="1:2" ht="15.75">
      <c r="A30" s="473"/>
      <c r="B30" s="492"/>
    </row>
    <row r="31" spans="1:2" ht="15.75">
      <c r="A31" s="473"/>
      <c r="B31" s="492"/>
    </row>
    <row r="32" spans="1:2" ht="15.75">
      <c r="A32" s="473"/>
      <c r="B32" s="492"/>
    </row>
    <row r="33" spans="1:2" ht="15.75">
      <c r="A33" s="473"/>
      <c r="B33" s="492"/>
    </row>
    <row r="34" spans="1:2" ht="15.75">
      <c r="A34" s="473"/>
      <c r="B34" s="492"/>
    </row>
    <row r="35" spans="1:2" ht="15.75">
      <c r="A35" s="473"/>
      <c r="B35" s="492"/>
    </row>
    <row r="36" spans="1:2" ht="15.75">
      <c r="A36" s="473"/>
      <c r="B36" s="492"/>
    </row>
    <row r="37" spans="1:2" ht="15.75">
      <c r="A37" s="473"/>
      <c r="B37" s="492"/>
    </row>
    <row r="38" spans="1:2" ht="15.75">
      <c r="A38" s="473"/>
      <c r="B38" s="492"/>
    </row>
    <row r="39" spans="1:2" ht="15.75">
      <c r="A39" s="473"/>
      <c r="B39" s="492"/>
    </row>
    <row r="40" spans="1:2" ht="15.75">
      <c r="A40" s="473"/>
      <c r="B40" s="492"/>
    </row>
    <row r="41" spans="1:2" ht="15.75">
      <c r="A41" s="473"/>
      <c r="B41" s="492"/>
    </row>
  </sheetData>
  <sheetProtection/>
  <mergeCells count="16">
    <mergeCell ref="H6:J6"/>
    <mergeCell ref="H7:H8"/>
    <mergeCell ref="I7:J7"/>
    <mergeCell ref="A18:J18"/>
    <mergeCell ref="A6:A8"/>
    <mergeCell ref="B6:B8"/>
    <mergeCell ref="C6:C8"/>
    <mergeCell ref="D6:D8"/>
    <mergeCell ref="E6:E8"/>
    <mergeCell ref="F6:G7"/>
    <mergeCell ref="I5:J5"/>
    <mergeCell ref="A1:C1"/>
    <mergeCell ref="I1:J1"/>
    <mergeCell ref="A2:J2"/>
    <mergeCell ref="A3:J3"/>
    <mergeCell ref="A4:J4"/>
  </mergeCells>
  <printOptions horizontalCentered="1"/>
  <pageMargins left="0.1968503937007874" right="0.1968503937007874" top="0.1968503937007874" bottom="0.1968503937007874" header="0.31496062992125984" footer="0.31496062992125984"/>
  <pageSetup firstPageNumber="1" useFirstPageNumber="1" fitToHeight="0" fitToWidth="1" horizontalDpi="600" verticalDpi="600" orientation="landscape" paperSize="9" r:id="rId1"/>
  <headerFooter differentFirst="1">
    <oddFooter>&amp;R&amp;P</oddFooter>
  </headerFooter>
</worksheet>
</file>

<file path=xl/worksheets/sheet16.xml><?xml version="1.0" encoding="utf-8"?>
<worksheet xmlns="http://schemas.openxmlformats.org/spreadsheetml/2006/main" xmlns:r="http://schemas.openxmlformats.org/officeDocument/2006/relationships">
  <sheetPr>
    <tabColor rgb="FF0070C0"/>
    <pageSetUpPr fitToPage="1"/>
  </sheetPr>
  <dimension ref="A1:AQ412"/>
  <sheetViews>
    <sheetView zoomScale="55" zoomScaleNormal="55" zoomScalePageLayoutView="0" workbookViewId="0" topLeftCell="A1">
      <pane xSplit="2" ySplit="8" topLeftCell="C9" activePane="bottomRight" state="frozen"/>
      <selection pane="topLeft" activeCell="A1" sqref="A1"/>
      <selection pane="topRight" activeCell="A1" sqref="A1"/>
      <selection pane="bottomLeft" activeCell="A1" sqref="A1"/>
      <selection pane="bottomRight" activeCell="C21" sqref="C21"/>
    </sheetView>
  </sheetViews>
  <sheetFormatPr defaultColWidth="9.00390625" defaultRowHeight="15.75"/>
  <cols>
    <col min="1" max="1" width="4.50390625" style="75" customWidth="1"/>
    <col min="2" max="2" width="24.625" style="76" customWidth="1"/>
    <col min="3" max="5" width="7.625" style="77" customWidth="1"/>
    <col min="6" max="6" width="11.75390625" style="77" customWidth="1"/>
    <col min="7" max="10" width="7.625" style="78" customWidth="1"/>
    <col min="11" max="11" width="7.875" style="78" hidden="1" customWidth="1"/>
    <col min="12" max="13" width="8.125" style="78" hidden="1" customWidth="1"/>
    <col min="14" max="14" width="8.25390625" style="78" hidden="1" customWidth="1"/>
    <col min="15" max="15" width="7.625" style="78" hidden="1" customWidth="1"/>
    <col min="16" max="16" width="8.25390625" style="78" hidden="1" customWidth="1"/>
    <col min="17" max="17" width="8.75390625" style="78" hidden="1" customWidth="1"/>
    <col min="18" max="18" width="8.125" style="78" hidden="1" customWidth="1"/>
    <col min="19" max="22" width="7.625" style="78" customWidth="1"/>
    <col min="23" max="23" width="8.00390625" style="78" customWidth="1"/>
    <col min="24" max="24" width="9.00390625" style="78" customWidth="1"/>
    <col min="25" max="25" width="9.25390625" style="78" customWidth="1"/>
    <col min="26" max="26" width="8.625" style="78" customWidth="1"/>
    <col min="27" max="27" width="7.625" style="78" customWidth="1"/>
    <col min="28" max="28" width="8.25390625" style="78" customWidth="1"/>
    <col min="29" max="29" width="8.75390625" style="78" customWidth="1"/>
    <col min="30" max="30" width="8.125" style="78" customWidth="1"/>
    <col min="31" max="31" width="8.00390625" style="78" customWidth="1"/>
    <col min="32" max="32" width="9.00390625" style="78" customWidth="1"/>
    <col min="33" max="33" width="9.25390625" style="78" customWidth="1"/>
    <col min="34" max="34" width="8.625" style="78" customWidth="1"/>
    <col min="35" max="35" width="7.625" style="78" customWidth="1"/>
    <col min="36" max="36" width="8.25390625" style="78" customWidth="1"/>
    <col min="37" max="37" width="8.75390625" style="78" customWidth="1"/>
    <col min="38" max="38" width="8.125" style="78" customWidth="1"/>
    <col min="39" max="42" width="7.625" style="78" customWidth="1"/>
    <col min="43" max="43" width="7.00390625" style="78" customWidth="1"/>
    <col min="44" max="16384" width="9.00390625" style="79" customWidth="1"/>
  </cols>
  <sheetData>
    <row r="1" spans="1:43" s="68" customFormat="1" ht="32.25" customHeight="1">
      <c r="A1" s="80" t="s">
        <v>280</v>
      </c>
      <c r="B1" s="81"/>
      <c r="C1" s="81"/>
      <c r="D1" s="81"/>
      <c r="E1" s="81"/>
      <c r="F1" s="81"/>
      <c r="G1" s="81"/>
      <c r="H1" s="81"/>
      <c r="I1" s="81"/>
      <c r="J1" s="81"/>
      <c r="K1" s="81"/>
      <c r="L1" s="81"/>
      <c r="M1" s="81"/>
      <c r="N1" s="81"/>
      <c r="O1" s="81"/>
      <c r="P1" s="81"/>
      <c r="Q1" s="81"/>
      <c r="R1" s="81"/>
      <c r="S1" s="81"/>
      <c r="T1" s="81"/>
      <c r="U1" s="81"/>
      <c r="V1" s="81"/>
      <c r="W1" s="81"/>
      <c r="X1" s="81"/>
      <c r="Y1" s="81"/>
      <c r="Z1" s="81"/>
      <c r="AA1" s="81"/>
      <c r="AB1" s="81"/>
      <c r="AC1" s="81"/>
      <c r="AD1" s="81"/>
      <c r="AE1" s="64"/>
      <c r="AF1" s="65"/>
      <c r="AG1" s="65"/>
      <c r="AH1" s="65"/>
      <c r="AI1" s="65"/>
      <c r="AJ1" s="65"/>
      <c r="AK1" s="65"/>
      <c r="AL1" s="65"/>
      <c r="AM1" s="65"/>
      <c r="AN1" s="65"/>
      <c r="AO1" s="65"/>
      <c r="AP1" s="65"/>
      <c r="AQ1" s="64" t="s">
        <v>223</v>
      </c>
    </row>
    <row r="2" spans="1:43" ht="42" customHeight="1">
      <c r="A2" s="1435" t="s">
        <v>281</v>
      </c>
      <c r="B2" s="1435"/>
      <c r="C2" s="1435"/>
      <c r="D2" s="1435"/>
      <c r="E2" s="1435"/>
      <c r="F2" s="1435"/>
      <c r="G2" s="1435"/>
      <c r="H2" s="1435"/>
      <c r="I2" s="1435"/>
      <c r="J2" s="1435"/>
      <c r="K2" s="1435"/>
      <c r="L2" s="1435"/>
      <c r="M2" s="1435"/>
      <c r="N2" s="1435"/>
      <c r="O2" s="1435"/>
      <c r="P2" s="1435"/>
      <c r="Q2" s="1435"/>
      <c r="R2" s="1435"/>
      <c r="S2" s="1435"/>
      <c r="T2" s="1435"/>
      <c r="U2" s="1435"/>
      <c r="V2" s="1435"/>
      <c r="W2" s="1435"/>
      <c r="X2" s="1435"/>
      <c r="Y2" s="1435"/>
      <c r="Z2" s="1435"/>
      <c r="AA2" s="1435"/>
      <c r="AB2" s="1435"/>
      <c r="AC2" s="1435"/>
      <c r="AD2" s="1435"/>
      <c r="AE2" s="1435"/>
      <c r="AF2" s="1435"/>
      <c r="AG2" s="1435"/>
      <c r="AH2" s="1435"/>
      <c r="AI2" s="1435"/>
      <c r="AJ2" s="1435"/>
      <c r="AK2" s="1435"/>
      <c r="AL2" s="1435"/>
      <c r="AM2" s="1435"/>
      <c r="AN2" s="1435"/>
      <c r="AO2" s="1435"/>
      <c r="AP2" s="1435"/>
      <c r="AQ2" s="1435"/>
    </row>
    <row r="3" spans="1:43" s="69" customFormat="1" ht="35.25" customHeight="1">
      <c r="A3" s="1436" t="s">
        <v>282</v>
      </c>
      <c r="B3" s="1436"/>
      <c r="C3" s="1436"/>
      <c r="D3" s="1436"/>
      <c r="E3" s="1436"/>
      <c r="F3" s="1436"/>
      <c r="G3" s="1436"/>
      <c r="H3" s="1436"/>
      <c r="I3" s="1436"/>
      <c r="J3" s="1436"/>
      <c r="K3" s="1436"/>
      <c r="L3" s="1436"/>
      <c r="M3" s="1436"/>
      <c r="N3" s="1436"/>
      <c r="O3" s="1436"/>
      <c r="P3" s="1436"/>
      <c r="Q3" s="1436"/>
      <c r="R3" s="1436"/>
      <c r="S3" s="1436"/>
      <c r="T3" s="1436"/>
      <c r="U3" s="1436"/>
      <c r="V3" s="1436"/>
      <c r="W3" s="1436"/>
      <c r="X3" s="1436"/>
      <c r="Y3" s="1436"/>
      <c r="Z3" s="1436"/>
      <c r="AA3" s="1436"/>
      <c r="AB3" s="1436"/>
      <c r="AC3" s="1436"/>
      <c r="AD3" s="1436"/>
      <c r="AE3" s="1436"/>
      <c r="AF3" s="1436"/>
      <c r="AG3" s="1436"/>
      <c r="AH3" s="1436"/>
      <c r="AI3" s="1436"/>
      <c r="AJ3" s="1436"/>
      <c r="AK3" s="1436"/>
      <c r="AL3" s="1436"/>
      <c r="AM3" s="1436"/>
      <c r="AN3" s="1436"/>
      <c r="AO3" s="1436"/>
      <c r="AP3" s="1436"/>
      <c r="AQ3" s="1436"/>
    </row>
    <row r="4" spans="1:43" s="70" customFormat="1" ht="43.5" customHeight="1">
      <c r="A4" s="1422" t="s">
        <v>2</v>
      </c>
      <c r="B4" s="1422" t="s">
        <v>283</v>
      </c>
      <c r="C4" s="1422" t="s">
        <v>284</v>
      </c>
      <c r="D4" s="1422" t="s">
        <v>285</v>
      </c>
      <c r="E4" s="1422" t="s">
        <v>286</v>
      </c>
      <c r="F4" s="1426" t="s">
        <v>287</v>
      </c>
      <c r="G4" s="1426"/>
      <c r="H4" s="1426"/>
      <c r="I4" s="1426"/>
      <c r="J4" s="1426"/>
      <c r="K4" s="1419" t="s">
        <v>288</v>
      </c>
      <c r="L4" s="1419"/>
      <c r="M4" s="1419"/>
      <c r="N4" s="1419"/>
      <c r="O4" s="1419" t="s">
        <v>289</v>
      </c>
      <c r="P4" s="1419"/>
      <c r="Q4" s="1419"/>
      <c r="R4" s="1419"/>
      <c r="S4" s="1428" t="s">
        <v>290</v>
      </c>
      <c r="T4" s="1429"/>
      <c r="U4" s="1429"/>
      <c r="V4" s="1430"/>
      <c r="W4" s="1432" t="s">
        <v>291</v>
      </c>
      <c r="X4" s="1433"/>
      <c r="Y4" s="1433"/>
      <c r="Z4" s="1434"/>
      <c r="AA4" s="1432" t="s">
        <v>292</v>
      </c>
      <c r="AB4" s="1433"/>
      <c r="AC4" s="1433"/>
      <c r="AD4" s="1434"/>
      <c r="AE4" s="1432" t="s">
        <v>293</v>
      </c>
      <c r="AF4" s="1433"/>
      <c r="AG4" s="1433"/>
      <c r="AH4" s="1434"/>
      <c r="AI4" s="1432" t="s">
        <v>294</v>
      </c>
      <c r="AJ4" s="1433"/>
      <c r="AK4" s="1433"/>
      <c r="AL4" s="1434"/>
      <c r="AM4" s="1428" t="s">
        <v>295</v>
      </c>
      <c r="AN4" s="1429"/>
      <c r="AO4" s="1429"/>
      <c r="AP4" s="1430"/>
      <c r="AQ4" s="1427" t="s">
        <v>296</v>
      </c>
    </row>
    <row r="5" spans="1:43" s="70" customFormat="1" ht="43.5" customHeight="1">
      <c r="A5" s="1423"/>
      <c r="B5" s="1423"/>
      <c r="C5" s="1423"/>
      <c r="D5" s="1423"/>
      <c r="E5" s="1423"/>
      <c r="F5" s="1426" t="s">
        <v>297</v>
      </c>
      <c r="G5" s="1426" t="s">
        <v>298</v>
      </c>
      <c r="H5" s="1426"/>
      <c r="I5" s="1426"/>
      <c r="J5" s="1426"/>
      <c r="K5" s="1419" t="s">
        <v>299</v>
      </c>
      <c r="L5" s="1419" t="s">
        <v>300</v>
      </c>
      <c r="M5" s="1419"/>
      <c r="N5" s="1419"/>
      <c r="O5" s="1419" t="s">
        <v>299</v>
      </c>
      <c r="P5" s="1419" t="s">
        <v>300</v>
      </c>
      <c r="Q5" s="1419"/>
      <c r="R5" s="1419"/>
      <c r="S5" s="1419" t="s">
        <v>299</v>
      </c>
      <c r="T5" s="1419" t="s">
        <v>301</v>
      </c>
      <c r="U5" s="1419"/>
      <c r="V5" s="1419"/>
      <c r="W5" s="1419" t="s">
        <v>299</v>
      </c>
      <c r="X5" s="1419" t="s">
        <v>300</v>
      </c>
      <c r="Y5" s="1419"/>
      <c r="Z5" s="1419"/>
      <c r="AA5" s="1419" t="s">
        <v>299</v>
      </c>
      <c r="AB5" s="1419" t="s">
        <v>300</v>
      </c>
      <c r="AC5" s="1419"/>
      <c r="AD5" s="1419"/>
      <c r="AE5" s="1419" t="s">
        <v>299</v>
      </c>
      <c r="AF5" s="1419" t="s">
        <v>300</v>
      </c>
      <c r="AG5" s="1419"/>
      <c r="AH5" s="1419"/>
      <c r="AI5" s="1419" t="s">
        <v>299</v>
      </c>
      <c r="AJ5" s="1419" t="s">
        <v>300</v>
      </c>
      <c r="AK5" s="1419"/>
      <c r="AL5" s="1419"/>
      <c r="AM5" s="1419" t="s">
        <v>299</v>
      </c>
      <c r="AN5" s="1419" t="s">
        <v>301</v>
      </c>
      <c r="AO5" s="1419"/>
      <c r="AP5" s="1419"/>
      <c r="AQ5" s="1424"/>
    </row>
    <row r="6" spans="1:43" s="70" customFormat="1" ht="43.5" customHeight="1">
      <c r="A6" s="1424"/>
      <c r="B6" s="1424"/>
      <c r="C6" s="1424"/>
      <c r="D6" s="1424"/>
      <c r="E6" s="1424"/>
      <c r="F6" s="1419"/>
      <c r="G6" s="1419" t="s">
        <v>299</v>
      </c>
      <c r="H6" s="1419" t="s">
        <v>302</v>
      </c>
      <c r="I6" s="1421"/>
      <c r="J6" s="1421"/>
      <c r="K6" s="1419"/>
      <c r="L6" s="1419" t="s">
        <v>299</v>
      </c>
      <c r="M6" s="1419" t="s">
        <v>303</v>
      </c>
      <c r="N6" s="1419" t="s">
        <v>304</v>
      </c>
      <c r="O6" s="1419"/>
      <c r="P6" s="1419" t="s">
        <v>299</v>
      </c>
      <c r="Q6" s="1419" t="s">
        <v>303</v>
      </c>
      <c r="R6" s="1419" t="s">
        <v>304</v>
      </c>
      <c r="S6" s="1419"/>
      <c r="T6" s="1419" t="s">
        <v>299</v>
      </c>
      <c r="U6" s="1419" t="s">
        <v>303</v>
      </c>
      <c r="V6" s="1419" t="s">
        <v>304</v>
      </c>
      <c r="W6" s="1419"/>
      <c r="X6" s="1419" t="s">
        <v>299</v>
      </c>
      <c r="Y6" s="1419" t="s">
        <v>303</v>
      </c>
      <c r="Z6" s="1419" t="s">
        <v>304</v>
      </c>
      <c r="AA6" s="1419"/>
      <c r="AB6" s="1419" t="s">
        <v>299</v>
      </c>
      <c r="AC6" s="1419" t="s">
        <v>303</v>
      </c>
      <c r="AD6" s="1419" t="s">
        <v>304</v>
      </c>
      <c r="AE6" s="1419"/>
      <c r="AF6" s="1419" t="s">
        <v>299</v>
      </c>
      <c r="AG6" s="1419" t="s">
        <v>303</v>
      </c>
      <c r="AH6" s="1419" t="s">
        <v>304</v>
      </c>
      <c r="AI6" s="1419"/>
      <c r="AJ6" s="1419" t="s">
        <v>299</v>
      </c>
      <c r="AK6" s="1419" t="s">
        <v>303</v>
      </c>
      <c r="AL6" s="1419" t="s">
        <v>304</v>
      </c>
      <c r="AM6" s="1419"/>
      <c r="AN6" s="1419" t="s">
        <v>299</v>
      </c>
      <c r="AO6" s="1419" t="s">
        <v>303</v>
      </c>
      <c r="AP6" s="1419" t="s">
        <v>304</v>
      </c>
      <c r="AQ6" s="1424"/>
    </row>
    <row r="7" spans="1:43" s="70" customFormat="1" ht="60" customHeight="1">
      <c r="A7" s="1425"/>
      <c r="B7" s="1425"/>
      <c r="C7" s="1425"/>
      <c r="D7" s="1425"/>
      <c r="E7" s="1425"/>
      <c r="F7" s="1419"/>
      <c r="G7" s="1421"/>
      <c r="H7" s="8" t="s">
        <v>299</v>
      </c>
      <c r="I7" s="8" t="s">
        <v>303</v>
      </c>
      <c r="J7" s="108" t="s">
        <v>304</v>
      </c>
      <c r="K7" s="1419"/>
      <c r="L7" s="1419"/>
      <c r="M7" s="1419"/>
      <c r="N7" s="1419"/>
      <c r="O7" s="1419"/>
      <c r="P7" s="1419"/>
      <c r="Q7" s="1419"/>
      <c r="R7" s="1419"/>
      <c r="S7" s="1419"/>
      <c r="T7" s="1419"/>
      <c r="U7" s="1419"/>
      <c r="V7" s="1419"/>
      <c r="W7" s="1419"/>
      <c r="X7" s="1419"/>
      <c r="Y7" s="1419"/>
      <c r="Z7" s="1419"/>
      <c r="AA7" s="1419"/>
      <c r="AB7" s="1419"/>
      <c r="AC7" s="1419"/>
      <c r="AD7" s="1419"/>
      <c r="AE7" s="1419"/>
      <c r="AF7" s="1419"/>
      <c r="AG7" s="1419"/>
      <c r="AH7" s="1419"/>
      <c r="AI7" s="1419"/>
      <c r="AJ7" s="1419"/>
      <c r="AK7" s="1419"/>
      <c r="AL7" s="1419"/>
      <c r="AM7" s="1419"/>
      <c r="AN7" s="1419"/>
      <c r="AO7" s="1419"/>
      <c r="AP7" s="1419"/>
      <c r="AQ7" s="1425"/>
    </row>
    <row r="8" spans="1:43" s="71" customFormat="1" ht="30.75" customHeight="1">
      <c r="A8" s="8">
        <v>1</v>
      </c>
      <c r="B8" s="8">
        <v>2</v>
      </c>
      <c r="C8" s="8">
        <v>3</v>
      </c>
      <c r="D8" s="8">
        <v>4</v>
      </c>
      <c r="E8" s="8">
        <v>5</v>
      </c>
      <c r="F8" s="8">
        <v>6</v>
      </c>
      <c r="G8" s="8">
        <v>7</v>
      </c>
      <c r="H8" s="8">
        <v>8</v>
      </c>
      <c r="I8" s="8">
        <v>9</v>
      </c>
      <c r="J8" s="8">
        <v>10</v>
      </c>
      <c r="K8" s="8">
        <v>11</v>
      </c>
      <c r="L8" s="8">
        <v>12</v>
      </c>
      <c r="M8" s="8">
        <v>13</v>
      </c>
      <c r="N8" s="8">
        <v>14</v>
      </c>
      <c r="O8" s="8">
        <v>15</v>
      </c>
      <c r="P8" s="8">
        <v>16</v>
      </c>
      <c r="Q8" s="8">
        <v>17</v>
      </c>
      <c r="R8" s="8">
        <v>18</v>
      </c>
      <c r="S8" s="8">
        <v>11</v>
      </c>
      <c r="T8" s="8">
        <v>12</v>
      </c>
      <c r="U8" s="8">
        <v>13</v>
      </c>
      <c r="V8" s="8">
        <v>14</v>
      </c>
      <c r="W8" s="8">
        <v>15</v>
      </c>
      <c r="X8" s="8">
        <v>16</v>
      </c>
      <c r="Y8" s="8">
        <v>17</v>
      </c>
      <c r="Z8" s="8">
        <v>18</v>
      </c>
      <c r="AA8" s="8">
        <v>19</v>
      </c>
      <c r="AB8" s="8">
        <v>20</v>
      </c>
      <c r="AC8" s="8">
        <v>21</v>
      </c>
      <c r="AD8" s="8">
        <v>22</v>
      </c>
      <c r="AE8" s="8">
        <v>23</v>
      </c>
      <c r="AF8" s="8">
        <v>24</v>
      </c>
      <c r="AG8" s="8">
        <v>25</v>
      </c>
      <c r="AH8" s="8">
        <v>26</v>
      </c>
      <c r="AI8" s="8">
        <v>27</v>
      </c>
      <c r="AJ8" s="8">
        <v>28</v>
      </c>
      <c r="AK8" s="8">
        <v>29</v>
      </c>
      <c r="AL8" s="8">
        <v>30</v>
      </c>
      <c r="AM8" s="8">
        <v>31</v>
      </c>
      <c r="AN8" s="8">
        <v>32</v>
      </c>
      <c r="AO8" s="8">
        <v>33</v>
      </c>
      <c r="AP8" s="8">
        <v>34</v>
      </c>
      <c r="AQ8" s="8">
        <v>35</v>
      </c>
    </row>
    <row r="9" spans="1:43" ht="51.75" customHeight="1">
      <c r="A9" s="82"/>
      <c r="B9" s="83" t="s">
        <v>305</v>
      </c>
      <c r="C9" s="84"/>
      <c r="D9" s="84"/>
      <c r="E9" s="84"/>
      <c r="F9" s="84"/>
      <c r="G9" s="85"/>
      <c r="H9" s="85"/>
      <c r="I9" s="85"/>
      <c r="J9" s="85"/>
      <c r="K9" s="85"/>
      <c r="L9" s="85"/>
      <c r="M9" s="85"/>
      <c r="N9" s="85"/>
      <c r="O9" s="85"/>
      <c r="P9" s="85"/>
      <c r="Q9" s="85"/>
      <c r="R9" s="85"/>
      <c r="S9" s="85"/>
      <c r="T9" s="85"/>
      <c r="U9" s="85"/>
      <c r="V9" s="85"/>
      <c r="W9" s="85"/>
      <c r="X9" s="85"/>
      <c r="Y9" s="85"/>
      <c r="Z9" s="85"/>
      <c r="AA9" s="85"/>
      <c r="AB9" s="85"/>
      <c r="AC9" s="85"/>
      <c r="AD9" s="85"/>
      <c r="AE9" s="85"/>
      <c r="AF9" s="85"/>
      <c r="AG9" s="85"/>
      <c r="AH9" s="85"/>
      <c r="AI9" s="85"/>
      <c r="AJ9" s="85"/>
      <c r="AK9" s="85"/>
      <c r="AL9" s="85"/>
      <c r="AM9" s="85"/>
      <c r="AN9" s="85"/>
      <c r="AO9" s="85"/>
      <c r="AP9" s="85"/>
      <c r="AQ9" s="85"/>
    </row>
    <row r="10" spans="1:43" s="72" customFormat="1" ht="48" customHeight="1">
      <c r="A10" s="86" t="s">
        <v>107</v>
      </c>
      <c r="B10" s="87" t="s">
        <v>306</v>
      </c>
      <c r="C10" s="88"/>
      <c r="D10" s="88"/>
      <c r="E10" s="88"/>
      <c r="F10" s="88"/>
      <c r="G10" s="89"/>
      <c r="H10" s="89"/>
      <c r="I10" s="89"/>
      <c r="J10" s="89"/>
      <c r="K10" s="89"/>
      <c r="L10" s="89"/>
      <c r="M10" s="89"/>
      <c r="N10" s="89"/>
      <c r="O10" s="89"/>
      <c r="P10" s="89"/>
      <c r="Q10" s="89"/>
      <c r="R10" s="89"/>
      <c r="S10" s="89"/>
      <c r="T10" s="89"/>
      <c r="U10" s="89"/>
      <c r="V10" s="89"/>
      <c r="W10" s="89"/>
      <c r="X10" s="89"/>
      <c r="Y10" s="89"/>
      <c r="Z10" s="89"/>
      <c r="AA10" s="89"/>
      <c r="AB10" s="89"/>
      <c r="AC10" s="89"/>
      <c r="AD10" s="89"/>
      <c r="AE10" s="89"/>
      <c r="AF10" s="89"/>
      <c r="AG10" s="89"/>
      <c r="AH10" s="89"/>
      <c r="AI10" s="89"/>
      <c r="AJ10" s="89"/>
      <c r="AK10" s="89"/>
      <c r="AL10" s="89"/>
      <c r="AM10" s="89"/>
      <c r="AN10" s="89"/>
      <c r="AO10" s="89"/>
      <c r="AP10" s="89"/>
      <c r="AQ10" s="89"/>
    </row>
    <row r="11" spans="1:43" ht="30" customHeight="1">
      <c r="A11" s="90">
        <v>1</v>
      </c>
      <c r="B11" s="91" t="s">
        <v>307</v>
      </c>
      <c r="C11" s="92"/>
      <c r="D11" s="92"/>
      <c r="E11" s="92"/>
      <c r="F11" s="92"/>
      <c r="G11" s="93"/>
      <c r="H11" s="93"/>
      <c r="I11" s="93"/>
      <c r="J11" s="93"/>
      <c r="K11" s="93"/>
      <c r="L11" s="93"/>
      <c r="M11" s="93"/>
      <c r="N11" s="93"/>
      <c r="O11" s="93"/>
      <c r="P11" s="93"/>
      <c r="Q11" s="93"/>
      <c r="R11" s="93"/>
      <c r="S11" s="93"/>
      <c r="T11" s="93"/>
      <c r="U11" s="93"/>
      <c r="V11" s="93"/>
      <c r="W11" s="93"/>
      <c r="X11" s="93"/>
      <c r="Y11" s="93"/>
      <c r="Z11" s="93"/>
      <c r="AA11" s="93"/>
      <c r="AB11" s="93"/>
      <c r="AC11" s="93"/>
      <c r="AD11" s="93"/>
      <c r="AE11" s="93"/>
      <c r="AF11" s="93"/>
      <c r="AG11" s="93"/>
      <c r="AH11" s="93"/>
      <c r="AI11" s="93"/>
      <c r="AJ11" s="93"/>
      <c r="AK11" s="93"/>
      <c r="AL11" s="93"/>
      <c r="AM11" s="93"/>
      <c r="AN11" s="93"/>
      <c r="AO11" s="93"/>
      <c r="AP11" s="93"/>
      <c r="AQ11" s="93"/>
    </row>
    <row r="12" spans="1:43" ht="30" customHeight="1">
      <c r="A12" s="90">
        <v>2</v>
      </c>
      <c r="B12" s="91" t="s">
        <v>307</v>
      </c>
      <c r="C12" s="92"/>
      <c r="D12" s="92"/>
      <c r="E12" s="92"/>
      <c r="F12" s="92"/>
      <c r="G12" s="93"/>
      <c r="H12" s="93"/>
      <c r="I12" s="93"/>
      <c r="J12" s="93"/>
      <c r="K12" s="93"/>
      <c r="L12" s="93"/>
      <c r="M12" s="93"/>
      <c r="N12" s="93"/>
      <c r="O12" s="93"/>
      <c r="P12" s="93"/>
      <c r="Q12" s="93"/>
      <c r="R12" s="93"/>
      <c r="S12" s="93"/>
      <c r="T12" s="93"/>
      <c r="U12" s="93"/>
      <c r="V12" s="93"/>
      <c r="W12" s="93"/>
      <c r="X12" s="93"/>
      <c r="Y12" s="93"/>
      <c r="Z12" s="93"/>
      <c r="AA12" s="93"/>
      <c r="AB12" s="93"/>
      <c r="AC12" s="93"/>
      <c r="AD12" s="93"/>
      <c r="AE12" s="93"/>
      <c r="AF12" s="93"/>
      <c r="AG12" s="93"/>
      <c r="AH12" s="93"/>
      <c r="AI12" s="93"/>
      <c r="AJ12" s="93"/>
      <c r="AK12" s="93"/>
      <c r="AL12" s="93"/>
      <c r="AM12" s="93"/>
      <c r="AN12" s="93"/>
      <c r="AO12" s="93"/>
      <c r="AP12" s="93"/>
      <c r="AQ12" s="93"/>
    </row>
    <row r="13" spans="1:43" ht="30" customHeight="1">
      <c r="A13" s="90"/>
      <c r="B13" s="158" t="s">
        <v>308</v>
      </c>
      <c r="C13" s="92"/>
      <c r="D13" s="92"/>
      <c r="E13" s="92"/>
      <c r="F13" s="92"/>
      <c r="G13" s="93"/>
      <c r="H13" s="93"/>
      <c r="I13" s="93"/>
      <c r="J13" s="93"/>
      <c r="K13" s="93"/>
      <c r="L13" s="93"/>
      <c r="M13" s="93"/>
      <c r="N13" s="93"/>
      <c r="O13" s="93"/>
      <c r="P13" s="93"/>
      <c r="Q13" s="93"/>
      <c r="R13" s="93"/>
      <c r="S13" s="93"/>
      <c r="T13" s="93"/>
      <c r="U13" s="93"/>
      <c r="V13" s="93"/>
      <c r="W13" s="93"/>
      <c r="X13" s="93"/>
      <c r="Y13" s="93"/>
      <c r="Z13" s="93"/>
      <c r="AA13" s="93"/>
      <c r="AB13" s="93"/>
      <c r="AC13" s="93"/>
      <c r="AD13" s="93"/>
      <c r="AE13" s="93"/>
      <c r="AF13" s="93"/>
      <c r="AG13" s="93"/>
      <c r="AH13" s="93"/>
      <c r="AI13" s="93"/>
      <c r="AJ13" s="93"/>
      <c r="AK13" s="93"/>
      <c r="AL13" s="93"/>
      <c r="AM13" s="93"/>
      <c r="AN13" s="93"/>
      <c r="AO13" s="93"/>
      <c r="AP13" s="93"/>
      <c r="AQ13" s="93"/>
    </row>
    <row r="14" spans="1:43" s="72" customFormat="1" ht="42" customHeight="1">
      <c r="A14" s="86" t="s">
        <v>117</v>
      </c>
      <c r="B14" s="87" t="s">
        <v>306</v>
      </c>
      <c r="C14" s="88"/>
      <c r="D14" s="88"/>
      <c r="E14" s="88"/>
      <c r="F14" s="88"/>
      <c r="G14" s="89"/>
      <c r="H14" s="89"/>
      <c r="I14" s="89"/>
      <c r="J14" s="89"/>
      <c r="K14" s="89"/>
      <c r="L14" s="89"/>
      <c r="M14" s="89"/>
      <c r="N14" s="89"/>
      <c r="O14" s="89"/>
      <c r="P14" s="89"/>
      <c r="Q14" s="89"/>
      <c r="R14" s="89"/>
      <c r="S14" s="89"/>
      <c r="T14" s="89"/>
      <c r="U14" s="89"/>
      <c r="V14" s="89"/>
      <c r="W14" s="89"/>
      <c r="X14" s="89"/>
      <c r="Y14" s="89"/>
      <c r="Z14" s="89"/>
      <c r="AA14" s="89"/>
      <c r="AB14" s="89"/>
      <c r="AC14" s="89"/>
      <c r="AD14" s="89"/>
      <c r="AE14" s="89"/>
      <c r="AF14" s="89"/>
      <c r="AG14" s="89"/>
      <c r="AH14" s="89"/>
      <c r="AI14" s="89"/>
      <c r="AJ14" s="89"/>
      <c r="AK14" s="89"/>
      <c r="AL14" s="89"/>
      <c r="AM14" s="89"/>
      <c r="AN14" s="89"/>
      <c r="AO14" s="89"/>
      <c r="AP14" s="89"/>
      <c r="AQ14" s="89"/>
    </row>
    <row r="15" spans="1:43" s="72" customFormat="1" ht="30" customHeight="1">
      <c r="A15" s="90">
        <v>1</v>
      </c>
      <c r="B15" s="91" t="s">
        <v>307</v>
      </c>
      <c r="C15" s="88"/>
      <c r="D15" s="88"/>
      <c r="E15" s="88"/>
      <c r="F15" s="88"/>
      <c r="G15" s="89"/>
      <c r="H15" s="89"/>
      <c r="I15" s="89"/>
      <c r="J15" s="89"/>
      <c r="K15" s="89"/>
      <c r="L15" s="89"/>
      <c r="M15" s="89"/>
      <c r="N15" s="89"/>
      <c r="O15" s="89"/>
      <c r="P15" s="89"/>
      <c r="Q15" s="89"/>
      <c r="R15" s="89"/>
      <c r="S15" s="89"/>
      <c r="T15" s="89"/>
      <c r="U15" s="89"/>
      <c r="V15" s="89"/>
      <c r="W15" s="89"/>
      <c r="X15" s="89"/>
      <c r="Y15" s="89"/>
      <c r="Z15" s="89"/>
      <c r="AA15" s="89"/>
      <c r="AB15" s="89"/>
      <c r="AC15" s="89"/>
      <c r="AD15" s="89"/>
      <c r="AE15" s="89"/>
      <c r="AF15" s="89"/>
      <c r="AG15" s="89"/>
      <c r="AH15" s="89"/>
      <c r="AI15" s="89"/>
      <c r="AJ15" s="89"/>
      <c r="AK15" s="89"/>
      <c r="AL15" s="89"/>
      <c r="AM15" s="89"/>
      <c r="AN15" s="89"/>
      <c r="AO15" s="89"/>
      <c r="AP15" s="89"/>
      <c r="AQ15" s="89"/>
    </row>
    <row r="16" spans="1:43" s="72" customFormat="1" ht="31.5" customHeight="1">
      <c r="A16" s="90">
        <v>2</v>
      </c>
      <c r="B16" s="91" t="s">
        <v>309</v>
      </c>
      <c r="C16" s="88"/>
      <c r="D16" s="88"/>
      <c r="E16" s="88"/>
      <c r="F16" s="88"/>
      <c r="G16" s="89"/>
      <c r="H16" s="89"/>
      <c r="I16" s="89"/>
      <c r="J16" s="89"/>
      <c r="K16" s="89"/>
      <c r="L16" s="89"/>
      <c r="M16" s="89"/>
      <c r="N16" s="89"/>
      <c r="O16" s="89"/>
      <c r="P16" s="89"/>
      <c r="Q16" s="89"/>
      <c r="R16" s="89"/>
      <c r="S16" s="89"/>
      <c r="T16" s="89"/>
      <c r="U16" s="89"/>
      <c r="V16" s="89"/>
      <c r="W16" s="89"/>
      <c r="X16" s="89"/>
      <c r="Y16" s="89"/>
      <c r="Z16" s="89"/>
      <c r="AA16" s="89"/>
      <c r="AB16" s="89"/>
      <c r="AC16" s="89"/>
      <c r="AD16" s="89"/>
      <c r="AE16" s="89"/>
      <c r="AF16" s="89"/>
      <c r="AG16" s="89"/>
      <c r="AH16" s="89"/>
      <c r="AI16" s="89"/>
      <c r="AJ16" s="89"/>
      <c r="AK16" s="89"/>
      <c r="AL16" s="89"/>
      <c r="AM16" s="89"/>
      <c r="AN16" s="89"/>
      <c r="AO16" s="89"/>
      <c r="AP16" s="89"/>
      <c r="AQ16" s="89"/>
    </row>
    <row r="17" spans="1:43" s="72" customFormat="1" ht="27" customHeight="1" hidden="1">
      <c r="A17" s="90"/>
      <c r="B17" s="158" t="s">
        <v>308</v>
      </c>
      <c r="C17" s="88"/>
      <c r="D17" s="88"/>
      <c r="E17" s="88"/>
      <c r="F17" s="88"/>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row>
    <row r="18" spans="1:43" s="73" customFormat="1" ht="19.5" hidden="1">
      <c r="A18" s="94" t="s">
        <v>117</v>
      </c>
      <c r="B18" s="95" t="s">
        <v>310</v>
      </c>
      <c r="C18" s="96"/>
      <c r="D18" s="96"/>
      <c r="E18" s="96"/>
      <c r="F18" s="96"/>
      <c r="G18" s="97"/>
      <c r="H18" s="97"/>
      <c r="I18" s="97"/>
      <c r="J18" s="97"/>
      <c r="K18" s="97"/>
      <c r="L18" s="97"/>
      <c r="M18" s="97"/>
      <c r="N18" s="97"/>
      <c r="O18" s="97"/>
      <c r="P18" s="97"/>
      <c r="Q18" s="97"/>
      <c r="R18" s="97"/>
      <c r="S18" s="97"/>
      <c r="T18" s="97"/>
      <c r="U18" s="97"/>
      <c r="V18" s="97"/>
      <c r="W18" s="97"/>
      <c r="X18" s="97"/>
      <c r="Y18" s="97"/>
      <c r="Z18" s="97"/>
      <c r="AA18" s="97"/>
      <c r="AB18" s="97"/>
      <c r="AC18" s="97"/>
      <c r="AD18" s="97"/>
      <c r="AE18" s="97"/>
      <c r="AF18" s="97"/>
      <c r="AG18" s="97"/>
      <c r="AH18" s="97"/>
      <c r="AI18" s="97"/>
      <c r="AJ18" s="97"/>
      <c r="AK18" s="97"/>
      <c r="AL18" s="97"/>
      <c r="AM18" s="97"/>
      <c r="AN18" s="97"/>
      <c r="AO18" s="97"/>
      <c r="AP18" s="97"/>
      <c r="AQ18" s="97"/>
    </row>
    <row r="19" spans="1:43" s="73" customFormat="1" ht="42" customHeight="1" hidden="1">
      <c r="A19" s="94"/>
      <c r="B19" s="95" t="s">
        <v>306</v>
      </c>
      <c r="C19" s="96"/>
      <c r="D19" s="96"/>
      <c r="E19" s="96"/>
      <c r="F19" s="96"/>
      <c r="G19" s="97"/>
      <c r="H19" s="97"/>
      <c r="I19" s="97"/>
      <c r="J19" s="97"/>
      <c r="K19" s="97"/>
      <c r="L19" s="97"/>
      <c r="M19" s="97"/>
      <c r="N19" s="97"/>
      <c r="O19" s="97"/>
      <c r="P19" s="97"/>
      <c r="Q19" s="97"/>
      <c r="R19" s="97"/>
      <c r="S19" s="97"/>
      <c r="T19" s="97"/>
      <c r="U19" s="97"/>
      <c r="V19" s="97"/>
      <c r="W19" s="97"/>
      <c r="X19" s="97"/>
      <c r="Y19" s="97"/>
      <c r="Z19" s="97"/>
      <c r="AA19" s="97"/>
      <c r="AB19" s="97"/>
      <c r="AC19" s="97"/>
      <c r="AD19" s="97"/>
      <c r="AE19" s="97"/>
      <c r="AF19" s="97"/>
      <c r="AG19" s="97"/>
      <c r="AH19" s="97"/>
      <c r="AI19" s="97"/>
      <c r="AJ19" s="97"/>
      <c r="AK19" s="97"/>
      <c r="AL19" s="97"/>
      <c r="AM19" s="97"/>
      <c r="AN19" s="97"/>
      <c r="AO19" s="97"/>
      <c r="AP19" s="97"/>
      <c r="AQ19" s="97"/>
    </row>
    <row r="20" spans="1:43" s="73" customFormat="1" ht="42" customHeight="1" hidden="1">
      <c r="A20" s="94"/>
      <c r="B20" s="95" t="s">
        <v>311</v>
      </c>
      <c r="C20" s="96"/>
      <c r="D20" s="96"/>
      <c r="E20" s="96"/>
      <c r="F20" s="96"/>
      <c r="G20" s="97"/>
      <c r="H20" s="97"/>
      <c r="I20" s="97"/>
      <c r="J20" s="97"/>
      <c r="K20" s="97"/>
      <c r="L20" s="97"/>
      <c r="M20" s="97"/>
      <c r="N20" s="97"/>
      <c r="O20" s="97"/>
      <c r="P20" s="97"/>
      <c r="Q20" s="97"/>
      <c r="R20" s="97"/>
      <c r="S20" s="97"/>
      <c r="T20" s="97"/>
      <c r="U20" s="97"/>
      <c r="V20" s="97"/>
      <c r="W20" s="97"/>
      <c r="X20" s="97"/>
      <c r="Y20" s="97"/>
      <c r="Z20" s="97"/>
      <c r="AA20" s="97"/>
      <c r="AB20" s="97"/>
      <c r="AC20" s="97"/>
      <c r="AD20" s="97"/>
      <c r="AE20" s="97"/>
      <c r="AF20" s="97"/>
      <c r="AG20" s="97"/>
      <c r="AH20" s="97"/>
      <c r="AI20" s="97"/>
      <c r="AJ20" s="97"/>
      <c r="AK20" s="97"/>
      <c r="AL20" s="97"/>
      <c r="AM20" s="97"/>
      <c r="AN20" s="97"/>
      <c r="AO20" s="97"/>
      <c r="AP20" s="97"/>
      <c r="AQ20" s="97"/>
    </row>
    <row r="21" spans="1:43" s="72" customFormat="1" ht="39.75" customHeight="1" hidden="1">
      <c r="A21" s="90">
        <v>1</v>
      </c>
      <c r="B21" s="91" t="s">
        <v>307</v>
      </c>
      <c r="C21" s="88"/>
      <c r="D21" s="88"/>
      <c r="E21" s="88"/>
      <c r="F21" s="88"/>
      <c r="G21" s="89"/>
      <c r="H21" s="89"/>
      <c r="I21" s="89"/>
      <c r="J21" s="89"/>
      <c r="K21" s="89"/>
      <c r="L21" s="89"/>
      <c r="M21" s="89"/>
      <c r="N21" s="89"/>
      <c r="O21" s="89"/>
      <c r="P21" s="89"/>
      <c r="Q21" s="89"/>
      <c r="R21" s="89"/>
      <c r="S21" s="89"/>
      <c r="T21" s="89"/>
      <c r="U21" s="89"/>
      <c r="V21" s="89"/>
      <c r="W21" s="89"/>
      <c r="X21" s="89"/>
      <c r="Y21" s="89"/>
      <c r="Z21" s="89"/>
      <c r="AA21" s="89"/>
      <c r="AB21" s="89"/>
      <c r="AC21" s="89"/>
      <c r="AD21" s="89"/>
      <c r="AE21" s="89"/>
      <c r="AF21" s="89"/>
      <c r="AG21" s="89"/>
      <c r="AH21" s="89"/>
      <c r="AI21" s="89"/>
      <c r="AJ21" s="89"/>
      <c r="AK21" s="89"/>
      <c r="AL21" s="89"/>
      <c r="AM21" s="89"/>
      <c r="AN21" s="89"/>
      <c r="AO21" s="89"/>
      <c r="AP21" s="89"/>
      <c r="AQ21" s="89"/>
    </row>
    <row r="22" spans="1:43" s="72" customFormat="1" ht="36.75" customHeight="1" hidden="1">
      <c r="A22" s="90">
        <v>2</v>
      </c>
      <c r="B22" s="91" t="s">
        <v>309</v>
      </c>
      <c r="C22" s="88"/>
      <c r="D22" s="88"/>
      <c r="E22" s="88"/>
      <c r="F22" s="88"/>
      <c r="G22" s="89"/>
      <c r="H22" s="89"/>
      <c r="I22" s="89"/>
      <c r="J22" s="89"/>
      <c r="K22" s="89"/>
      <c r="L22" s="89"/>
      <c r="M22" s="89"/>
      <c r="N22" s="89"/>
      <c r="O22" s="89"/>
      <c r="P22" s="89"/>
      <c r="Q22" s="89"/>
      <c r="R22" s="89"/>
      <c r="S22" s="89"/>
      <c r="T22" s="89"/>
      <c r="U22" s="89"/>
      <c r="V22" s="89"/>
      <c r="W22" s="89"/>
      <c r="X22" s="89"/>
      <c r="Y22" s="89"/>
      <c r="Z22" s="89"/>
      <c r="AA22" s="89"/>
      <c r="AB22" s="89"/>
      <c r="AC22" s="89"/>
      <c r="AD22" s="89"/>
      <c r="AE22" s="89"/>
      <c r="AF22" s="89"/>
      <c r="AG22" s="89"/>
      <c r="AH22" s="89"/>
      <c r="AI22" s="89"/>
      <c r="AJ22" s="89"/>
      <c r="AK22" s="89"/>
      <c r="AL22" s="89"/>
      <c r="AM22" s="89"/>
      <c r="AN22" s="89"/>
      <c r="AO22" s="89"/>
      <c r="AP22" s="89"/>
      <c r="AQ22" s="89"/>
    </row>
    <row r="23" spans="1:43" s="73" customFormat="1" ht="24.75" customHeight="1" hidden="1">
      <c r="A23" s="94"/>
      <c r="B23" s="95" t="s">
        <v>312</v>
      </c>
      <c r="C23" s="96"/>
      <c r="D23" s="96"/>
      <c r="E23" s="96"/>
      <c r="F23" s="96"/>
      <c r="G23" s="97"/>
      <c r="H23" s="97"/>
      <c r="I23" s="97"/>
      <c r="J23" s="97"/>
      <c r="K23" s="97"/>
      <c r="L23" s="97"/>
      <c r="M23" s="97"/>
      <c r="N23" s="97"/>
      <c r="O23" s="97"/>
      <c r="P23" s="97"/>
      <c r="Q23" s="97"/>
      <c r="R23" s="97"/>
      <c r="S23" s="97"/>
      <c r="T23" s="97"/>
      <c r="U23" s="97"/>
      <c r="V23" s="97"/>
      <c r="W23" s="97"/>
      <c r="X23" s="97"/>
      <c r="Y23" s="97"/>
      <c r="Z23" s="97"/>
      <c r="AA23" s="97"/>
      <c r="AB23" s="97"/>
      <c r="AC23" s="97"/>
      <c r="AD23" s="97"/>
      <c r="AE23" s="97"/>
      <c r="AF23" s="97"/>
      <c r="AG23" s="97"/>
      <c r="AH23" s="97"/>
      <c r="AI23" s="97"/>
      <c r="AJ23" s="97"/>
      <c r="AK23" s="97"/>
      <c r="AL23" s="97"/>
      <c r="AM23" s="97"/>
      <c r="AN23" s="97"/>
      <c r="AO23" s="97"/>
      <c r="AP23" s="97"/>
      <c r="AQ23" s="97"/>
    </row>
    <row r="24" spans="1:43" ht="24.75" customHeight="1" hidden="1">
      <c r="A24" s="90">
        <v>1</v>
      </c>
      <c r="B24" s="91" t="s">
        <v>307</v>
      </c>
      <c r="C24" s="92"/>
      <c r="D24" s="92"/>
      <c r="E24" s="92"/>
      <c r="F24" s="92"/>
      <c r="G24" s="93"/>
      <c r="H24" s="93"/>
      <c r="I24" s="93"/>
      <c r="J24" s="93"/>
      <c r="K24" s="93"/>
      <c r="L24" s="93"/>
      <c r="M24" s="93"/>
      <c r="N24" s="93"/>
      <c r="O24" s="93"/>
      <c r="P24" s="93"/>
      <c r="Q24" s="93"/>
      <c r="R24" s="93"/>
      <c r="S24" s="93"/>
      <c r="T24" s="93"/>
      <c r="U24" s="93"/>
      <c r="V24" s="93"/>
      <c r="W24" s="93"/>
      <c r="X24" s="93"/>
      <c r="Y24" s="93"/>
      <c r="Z24" s="93"/>
      <c r="AA24" s="93"/>
      <c r="AB24" s="93"/>
      <c r="AC24" s="93"/>
      <c r="AD24" s="93"/>
      <c r="AE24" s="93"/>
      <c r="AF24" s="93"/>
      <c r="AG24" s="93"/>
      <c r="AH24" s="93"/>
      <c r="AI24" s="93"/>
      <c r="AJ24" s="93"/>
      <c r="AK24" s="93"/>
      <c r="AL24" s="93"/>
      <c r="AM24" s="93"/>
      <c r="AN24" s="93"/>
      <c r="AO24" s="93"/>
      <c r="AP24" s="93"/>
      <c r="AQ24" s="93"/>
    </row>
    <row r="25" spans="1:43" ht="24.75" customHeight="1" hidden="1">
      <c r="A25" s="90">
        <v>2</v>
      </c>
      <c r="B25" s="91" t="s">
        <v>313</v>
      </c>
      <c r="C25" s="92"/>
      <c r="D25" s="92"/>
      <c r="E25" s="92"/>
      <c r="F25" s="92"/>
      <c r="G25" s="93"/>
      <c r="H25" s="93"/>
      <c r="I25" s="93"/>
      <c r="J25" s="93"/>
      <c r="K25" s="93"/>
      <c r="L25" s="93"/>
      <c r="M25" s="93"/>
      <c r="N25" s="93"/>
      <c r="O25" s="93"/>
      <c r="P25" s="93"/>
      <c r="Q25" s="93"/>
      <c r="R25" s="93"/>
      <c r="S25" s="93"/>
      <c r="T25" s="93"/>
      <c r="U25" s="93"/>
      <c r="V25" s="93"/>
      <c r="W25" s="93"/>
      <c r="X25" s="93"/>
      <c r="Y25" s="93"/>
      <c r="Z25" s="93"/>
      <c r="AA25" s="93"/>
      <c r="AB25" s="93"/>
      <c r="AC25" s="93"/>
      <c r="AD25" s="93"/>
      <c r="AE25" s="93"/>
      <c r="AF25" s="93"/>
      <c r="AG25" s="93"/>
      <c r="AH25" s="93"/>
      <c r="AI25" s="93"/>
      <c r="AJ25" s="93"/>
      <c r="AK25" s="93"/>
      <c r="AL25" s="93"/>
      <c r="AM25" s="93"/>
      <c r="AN25" s="93"/>
      <c r="AO25" s="93"/>
      <c r="AP25" s="93"/>
      <c r="AQ25" s="93"/>
    </row>
    <row r="26" spans="1:43" ht="30" customHeight="1">
      <c r="A26" s="90"/>
      <c r="B26" s="158" t="s">
        <v>308</v>
      </c>
      <c r="C26" s="92"/>
      <c r="D26" s="92"/>
      <c r="E26" s="92"/>
      <c r="F26" s="92"/>
      <c r="G26" s="93"/>
      <c r="H26" s="93"/>
      <c r="I26" s="93"/>
      <c r="J26" s="93"/>
      <c r="K26" s="93"/>
      <c r="L26" s="93"/>
      <c r="M26" s="93"/>
      <c r="N26" s="93"/>
      <c r="O26" s="93"/>
      <c r="P26" s="93"/>
      <c r="Q26" s="93"/>
      <c r="R26" s="93"/>
      <c r="S26" s="93"/>
      <c r="T26" s="93"/>
      <c r="U26" s="93"/>
      <c r="V26" s="93"/>
      <c r="W26" s="93"/>
      <c r="X26" s="93"/>
      <c r="Y26" s="93"/>
      <c r="Z26" s="93"/>
      <c r="AA26" s="93"/>
      <c r="AB26" s="93"/>
      <c r="AC26" s="93"/>
      <c r="AD26" s="93"/>
      <c r="AE26" s="93"/>
      <c r="AF26" s="93"/>
      <c r="AG26" s="93"/>
      <c r="AH26" s="93"/>
      <c r="AI26" s="93"/>
      <c r="AJ26" s="93"/>
      <c r="AK26" s="93"/>
      <c r="AL26" s="93"/>
      <c r="AM26" s="93"/>
      <c r="AN26" s="93"/>
      <c r="AO26" s="93"/>
      <c r="AP26" s="93"/>
      <c r="AQ26" s="93"/>
    </row>
    <row r="27" spans="1:43" ht="0.75" customHeight="1">
      <c r="A27" s="98"/>
      <c r="B27" s="99"/>
      <c r="C27" s="100"/>
      <c r="D27" s="100"/>
      <c r="E27" s="100"/>
      <c r="F27" s="100"/>
      <c r="G27" s="101"/>
      <c r="H27" s="101"/>
      <c r="I27" s="101"/>
      <c r="J27" s="101"/>
      <c r="K27" s="101"/>
      <c r="L27" s="101"/>
      <c r="M27" s="101"/>
      <c r="N27" s="101"/>
      <c r="O27" s="101"/>
      <c r="P27" s="101"/>
      <c r="Q27" s="101"/>
      <c r="R27" s="101"/>
      <c r="S27" s="101"/>
      <c r="T27" s="101"/>
      <c r="U27" s="101"/>
      <c r="V27" s="101"/>
      <c r="W27" s="101"/>
      <c r="X27" s="101"/>
      <c r="Y27" s="101"/>
      <c r="Z27" s="101"/>
      <c r="AA27" s="101"/>
      <c r="AB27" s="101"/>
      <c r="AC27" s="101"/>
      <c r="AD27" s="101"/>
      <c r="AE27" s="101"/>
      <c r="AF27" s="101"/>
      <c r="AG27" s="101"/>
      <c r="AH27" s="101"/>
      <c r="AI27" s="101"/>
      <c r="AJ27" s="101"/>
      <c r="AK27" s="101"/>
      <c r="AL27" s="101"/>
      <c r="AM27" s="101"/>
      <c r="AN27" s="101"/>
      <c r="AO27" s="101"/>
      <c r="AP27" s="101"/>
      <c r="AQ27" s="101"/>
    </row>
    <row r="28" spans="1:43" ht="0.75" customHeight="1">
      <c r="A28" s="102"/>
      <c r="B28" s="103"/>
      <c r="C28" s="104"/>
      <c r="D28" s="104"/>
      <c r="E28" s="104"/>
      <c r="F28" s="104"/>
      <c r="G28" s="105"/>
      <c r="H28" s="105"/>
      <c r="I28" s="105"/>
      <c r="J28" s="105"/>
      <c r="K28" s="105"/>
      <c r="L28" s="105"/>
      <c r="M28" s="105"/>
      <c r="N28" s="105"/>
      <c r="O28" s="105"/>
      <c r="P28" s="105"/>
      <c r="Q28" s="105"/>
      <c r="R28" s="105"/>
      <c r="S28" s="105"/>
      <c r="T28" s="105"/>
      <c r="U28" s="105"/>
      <c r="V28" s="105"/>
      <c r="W28" s="105"/>
      <c r="X28" s="105"/>
      <c r="Y28" s="105"/>
      <c r="Z28" s="105"/>
      <c r="AA28" s="105"/>
      <c r="AB28" s="105"/>
      <c r="AC28" s="105"/>
      <c r="AD28" s="105"/>
      <c r="AE28" s="105"/>
      <c r="AF28" s="105"/>
      <c r="AG28" s="105"/>
      <c r="AH28" s="105"/>
      <c r="AI28" s="105"/>
      <c r="AJ28" s="105"/>
      <c r="AK28" s="105"/>
      <c r="AL28" s="105"/>
      <c r="AM28" s="105"/>
      <c r="AN28" s="105"/>
      <c r="AO28" s="105"/>
      <c r="AP28" s="105"/>
      <c r="AQ28" s="105"/>
    </row>
    <row r="29" spans="1:43" ht="0.75" customHeight="1">
      <c r="A29" s="102"/>
      <c r="B29" s="103"/>
      <c r="C29" s="104"/>
      <c r="D29" s="104"/>
      <c r="E29" s="104"/>
      <c r="F29" s="104"/>
      <c r="G29" s="105"/>
      <c r="H29" s="105"/>
      <c r="I29" s="105"/>
      <c r="J29" s="105"/>
      <c r="K29" s="105"/>
      <c r="L29" s="105"/>
      <c r="M29" s="105"/>
      <c r="N29" s="105"/>
      <c r="O29" s="105"/>
      <c r="P29" s="105"/>
      <c r="Q29" s="105"/>
      <c r="R29" s="105"/>
      <c r="S29" s="105"/>
      <c r="T29" s="105"/>
      <c r="U29" s="105"/>
      <c r="V29" s="105"/>
      <c r="W29" s="105"/>
      <c r="X29" s="105"/>
      <c r="Y29" s="105"/>
      <c r="Z29" s="105"/>
      <c r="AA29" s="105"/>
      <c r="AB29" s="105"/>
      <c r="AC29" s="105"/>
      <c r="AD29" s="105"/>
      <c r="AE29" s="105"/>
      <c r="AF29" s="105"/>
      <c r="AG29" s="105"/>
      <c r="AH29" s="105"/>
      <c r="AI29" s="105"/>
      <c r="AJ29" s="105"/>
      <c r="AK29" s="105"/>
      <c r="AL29" s="105"/>
      <c r="AM29" s="105"/>
      <c r="AN29" s="105"/>
      <c r="AO29" s="105"/>
      <c r="AP29" s="105"/>
      <c r="AQ29" s="105"/>
    </row>
    <row r="30" spans="1:43" ht="0.75" customHeight="1">
      <c r="A30" s="102"/>
      <c r="B30" s="103"/>
      <c r="C30" s="104"/>
      <c r="D30" s="104"/>
      <c r="E30" s="104"/>
      <c r="F30" s="104"/>
      <c r="G30" s="105"/>
      <c r="H30" s="105"/>
      <c r="I30" s="105"/>
      <c r="J30" s="105"/>
      <c r="K30" s="105"/>
      <c r="L30" s="105"/>
      <c r="M30" s="105"/>
      <c r="N30" s="105"/>
      <c r="O30" s="105"/>
      <c r="P30" s="105"/>
      <c r="Q30" s="105"/>
      <c r="R30" s="105"/>
      <c r="S30" s="105"/>
      <c r="T30" s="105"/>
      <c r="U30" s="105"/>
      <c r="V30" s="105"/>
      <c r="W30" s="105"/>
      <c r="X30" s="105"/>
      <c r="Y30" s="105"/>
      <c r="Z30" s="105"/>
      <c r="AA30" s="105"/>
      <c r="AB30" s="105"/>
      <c r="AC30" s="105"/>
      <c r="AD30" s="105"/>
      <c r="AE30" s="105"/>
      <c r="AF30" s="105"/>
      <c r="AG30" s="105"/>
      <c r="AH30" s="105"/>
      <c r="AI30" s="105"/>
      <c r="AJ30" s="105"/>
      <c r="AK30" s="105"/>
      <c r="AL30" s="105"/>
      <c r="AM30" s="105"/>
      <c r="AN30" s="105"/>
      <c r="AO30" s="105"/>
      <c r="AP30" s="105"/>
      <c r="AQ30" s="105"/>
    </row>
    <row r="31" spans="1:43" ht="0.75" customHeight="1">
      <c r="A31" s="102"/>
      <c r="B31" s="103"/>
      <c r="C31" s="104"/>
      <c r="D31" s="104"/>
      <c r="E31" s="104"/>
      <c r="F31" s="104"/>
      <c r="G31" s="105"/>
      <c r="H31" s="105"/>
      <c r="I31" s="105"/>
      <c r="J31" s="105"/>
      <c r="K31" s="105"/>
      <c r="L31" s="105"/>
      <c r="M31" s="105"/>
      <c r="N31" s="105"/>
      <c r="O31" s="105"/>
      <c r="P31" s="105"/>
      <c r="Q31" s="105"/>
      <c r="R31" s="105"/>
      <c r="S31" s="105"/>
      <c r="T31" s="105"/>
      <c r="U31" s="105"/>
      <c r="V31" s="105"/>
      <c r="W31" s="105"/>
      <c r="X31" s="105"/>
      <c r="Y31" s="105"/>
      <c r="Z31" s="105"/>
      <c r="AA31" s="105"/>
      <c r="AB31" s="105"/>
      <c r="AC31" s="105"/>
      <c r="AD31" s="105"/>
      <c r="AE31" s="105"/>
      <c r="AF31" s="105"/>
      <c r="AG31" s="105"/>
      <c r="AH31" s="105"/>
      <c r="AI31" s="105"/>
      <c r="AJ31" s="105"/>
      <c r="AK31" s="105"/>
      <c r="AL31" s="105"/>
      <c r="AM31" s="105"/>
      <c r="AN31" s="105"/>
      <c r="AO31" s="105"/>
      <c r="AP31" s="105"/>
      <c r="AQ31" s="105"/>
    </row>
    <row r="32" spans="1:43" ht="0.75" customHeight="1">
      <c r="A32" s="102"/>
      <c r="B32" s="103"/>
      <c r="C32" s="104"/>
      <c r="D32" s="104"/>
      <c r="E32" s="104"/>
      <c r="F32" s="104"/>
      <c r="G32" s="105"/>
      <c r="H32" s="105"/>
      <c r="I32" s="105"/>
      <c r="J32" s="105"/>
      <c r="K32" s="105"/>
      <c r="L32" s="105"/>
      <c r="M32" s="105"/>
      <c r="N32" s="105"/>
      <c r="O32" s="105"/>
      <c r="P32" s="105"/>
      <c r="Q32" s="105"/>
      <c r="R32" s="105"/>
      <c r="S32" s="105"/>
      <c r="T32" s="105"/>
      <c r="U32" s="105"/>
      <c r="V32" s="105"/>
      <c r="W32" s="105"/>
      <c r="X32" s="105"/>
      <c r="Y32" s="105"/>
      <c r="Z32" s="105"/>
      <c r="AA32" s="105"/>
      <c r="AB32" s="105"/>
      <c r="AC32" s="105"/>
      <c r="AD32" s="105"/>
      <c r="AE32" s="105"/>
      <c r="AF32" s="105"/>
      <c r="AG32" s="105"/>
      <c r="AH32" s="105"/>
      <c r="AI32" s="105"/>
      <c r="AJ32" s="105"/>
      <c r="AK32" s="105"/>
      <c r="AL32" s="105"/>
      <c r="AM32" s="105"/>
      <c r="AN32" s="105"/>
      <c r="AO32" s="105"/>
      <c r="AP32" s="105"/>
      <c r="AQ32" s="105"/>
    </row>
    <row r="33" spans="1:43" ht="0.75" customHeight="1">
      <c r="A33" s="102"/>
      <c r="B33" s="103"/>
      <c r="C33" s="104"/>
      <c r="D33" s="104"/>
      <c r="E33" s="104"/>
      <c r="F33" s="104"/>
      <c r="G33" s="105"/>
      <c r="H33" s="105"/>
      <c r="I33" s="105"/>
      <c r="J33" s="105"/>
      <c r="K33" s="105"/>
      <c r="L33" s="105"/>
      <c r="M33" s="105"/>
      <c r="N33" s="105"/>
      <c r="O33" s="105"/>
      <c r="P33" s="105"/>
      <c r="Q33" s="105"/>
      <c r="R33" s="105"/>
      <c r="S33" s="105"/>
      <c r="T33" s="105"/>
      <c r="U33" s="105"/>
      <c r="V33" s="105"/>
      <c r="W33" s="105"/>
      <c r="X33" s="105"/>
      <c r="Y33" s="105"/>
      <c r="Z33" s="105"/>
      <c r="AA33" s="105"/>
      <c r="AB33" s="105"/>
      <c r="AC33" s="105"/>
      <c r="AD33" s="105"/>
      <c r="AE33" s="105"/>
      <c r="AF33" s="105"/>
      <c r="AG33" s="105"/>
      <c r="AH33" s="105"/>
      <c r="AI33" s="105"/>
      <c r="AJ33" s="105"/>
      <c r="AK33" s="105"/>
      <c r="AL33" s="105"/>
      <c r="AM33" s="105"/>
      <c r="AN33" s="105"/>
      <c r="AO33" s="105"/>
      <c r="AP33" s="105"/>
      <c r="AQ33" s="105"/>
    </row>
    <row r="34" spans="1:43" ht="0.75" customHeight="1">
      <c r="A34" s="102"/>
      <c r="B34" s="103"/>
      <c r="C34" s="104"/>
      <c r="D34" s="104"/>
      <c r="E34" s="104"/>
      <c r="F34" s="104"/>
      <c r="G34" s="105"/>
      <c r="H34" s="105"/>
      <c r="I34" s="105"/>
      <c r="J34" s="105"/>
      <c r="K34" s="105"/>
      <c r="L34" s="105"/>
      <c r="M34" s="105"/>
      <c r="N34" s="105"/>
      <c r="O34" s="105"/>
      <c r="P34" s="105"/>
      <c r="Q34" s="105"/>
      <c r="R34" s="105"/>
      <c r="S34" s="105"/>
      <c r="T34" s="105"/>
      <c r="U34" s="105"/>
      <c r="V34" s="105"/>
      <c r="W34" s="105"/>
      <c r="X34" s="105"/>
      <c r="Y34" s="105"/>
      <c r="Z34" s="105"/>
      <c r="AA34" s="105"/>
      <c r="AB34" s="105"/>
      <c r="AC34" s="105"/>
      <c r="AD34" s="105"/>
      <c r="AE34" s="105"/>
      <c r="AF34" s="105"/>
      <c r="AG34" s="105"/>
      <c r="AH34" s="105"/>
      <c r="AI34" s="105"/>
      <c r="AJ34" s="105"/>
      <c r="AK34" s="105"/>
      <c r="AL34" s="105"/>
      <c r="AM34" s="105"/>
      <c r="AN34" s="105"/>
      <c r="AO34" s="105"/>
      <c r="AP34" s="105"/>
      <c r="AQ34" s="105"/>
    </row>
    <row r="35" spans="1:43" ht="0.75" customHeight="1">
      <c r="A35" s="102"/>
      <c r="B35" s="103"/>
      <c r="C35" s="104"/>
      <c r="D35" s="104"/>
      <c r="E35" s="104"/>
      <c r="F35" s="104"/>
      <c r="G35" s="105"/>
      <c r="H35" s="105"/>
      <c r="I35" s="105"/>
      <c r="J35" s="105"/>
      <c r="K35" s="105"/>
      <c r="L35" s="105"/>
      <c r="M35" s="105"/>
      <c r="N35" s="105"/>
      <c r="O35" s="105"/>
      <c r="P35" s="105"/>
      <c r="Q35" s="105"/>
      <c r="R35" s="105"/>
      <c r="S35" s="105"/>
      <c r="T35" s="105"/>
      <c r="U35" s="105"/>
      <c r="V35" s="105"/>
      <c r="W35" s="105"/>
      <c r="X35" s="105"/>
      <c r="Y35" s="105"/>
      <c r="Z35" s="105"/>
      <c r="AA35" s="105"/>
      <c r="AB35" s="105"/>
      <c r="AC35" s="105"/>
      <c r="AD35" s="105"/>
      <c r="AE35" s="105"/>
      <c r="AF35" s="105"/>
      <c r="AG35" s="105"/>
      <c r="AH35" s="105"/>
      <c r="AI35" s="105"/>
      <c r="AJ35" s="105"/>
      <c r="AK35" s="105"/>
      <c r="AL35" s="105"/>
      <c r="AM35" s="105"/>
      <c r="AN35" s="105"/>
      <c r="AO35" s="105"/>
      <c r="AP35" s="105"/>
      <c r="AQ35" s="105"/>
    </row>
    <row r="36" spans="1:43" ht="0.75" customHeight="1">
      <c r="A36" s="102"/>
      <c r="B36" s="103"/>
      <c r="C36" s="104"/>
      <c r="D36" s="104"/>
      <c r="E36" s="104"/>
      <c r="F36" s="104"/>
      <c r="G36" s="105"/>
      <c r="H36" s="105"/>
      <c r="I36" s="105"/>
      <c r="J36" s="105"/>
      <c r="K36" s="105"/>
      <c r="L36" s="105"/>
      <c r="M36" s="105"/>
      <c r="N36" s="105"/>
      <c r="O36" s="105"/>
      <c r="P36" s="105"/>
      <c r="Q36" s="105"/>
      <c r="R36" s="105"/>
      <c r="S36" s="105"/>
      <c r="T36" s="105"/>
      <c r="U36" s="105"/>
      <c r="V36" s="105"/>
      <c r="W36" s="105"/>
      <c r="X36" s="105"/>
      <c r="Y36" s="105"/>
      <c r="Z36" s="105"/>
      <c r="AA36" s="105"/>
      <c r="AB36" s="105"/>
      <c r="AC36" s="105"/>
      <c r="AD36" s="105"/>
      <c r="AE36" s="105"/>
      <c r="AF36" s="105"/>
      <c r="AG36" s="105"/>
      <c r="AH36" s="105"/>
      <c r="AI36" s="105"/>
      <c r="AJ36" s="105"/>
      <c r="AK36" s="105"/>
      <c r="AL36" s="105"/>
      <c r="AM36" s="105"/>
      <c r="AN36" s="105"/>
      <c r="AO36" s="105"/>
      <c r="AP36" s="105"/>
      <c r="AQ36" s="105"/>
    </row>
    <row r="37" spans="1:43" ht="0.75" customHeight="1">
      <c r="A37" s="102"/>
      <c r="B37" s="103"/>
      <c r="C37" s="104"/>
      <c r="D37" s="104"/>
      <c r="E37" s="104"/>
      <c r="F37" s="104"/>
      <c r="G37" s="105"/>
      <c r="H37" s="105"/>
      <c r="I37" s="105"/>
      <c r="J37" s="105"/>
      <c r="K37" s="105"/>
      <c r="L37" s="105"/>
      <c r="M37" s="105"/>
      <c r="N37" s="105"/>
      <c r="O37" s="105"/>
      <c r="P37" s="105"/>
      <c r="Q37" s="105"/>
      <c r="R37" s="105"/>
      <c r="S37" s="105"/>
      <c r="T37" s="105"/>
      <c r="U37" s="105"/>
      <c r="V37" s="105"/>
      <c r="W37" s="105"/>
      <c r="X37" s="105"/>
      <c r="Y37" s="105"/>
      <c r="Z37" s="105"/>
      <c r="AA37" s="105"/>
      <c r="AB37" s="105"/>
      <c r="AC37" s="105"/>
      <c r="AD37" s="105"/>
      <c r="AE37" s="105"/>
      <c r="AF37" s="105"/>
      <c r="AG37" s="105"/>
      <c r="AH37" s="105"/>
      <c r="AI37" s="105"/>
      <c r="AJ37" s="105"/>
      <c r="AK37" s="105"/>
      <c r="AL37" s="105"/>
      <c r="AM37" s="105"/>
      <c r="AN37" s="105"/>
      <c r="AO37" s="105"/>
      <c r="AP37" s="105"/>
      <c r="AQ37" s="105"/>
    </row>
    <row r="38" spans="1:43" ht="0.75" customHeight="1">
      <c r="A38" s="102"/>
      <c r="B38" s="103"/>
      <c r="C38" s="104"/>
      <c r="D38" s="104"/>
      <c r="E38" s="104"/>
      <c r="F38" s="104"/>
      <c r="G38" s="105"/>
      <c r="H38" s="105"/>
      <c r="I38" s="105"/>
      <c r="J38" s="105"/>
      <c r="K38" s="105"/>
      <c r="L38" s="105"/>
      <c r="M38" s="105"/>
      <c r="N38" s="105"/>
      <c r="O38" s="105"/>
      <c r="P38" s="105"/>
      <c r="Q38" s="105"/>
      <c r="R38" s="105"/>
      <c r="S38" s="105"/>
      <c r="T38" s="105"/>
      <c r="U38" s="105"/>
      <c r="V38" s="105"/>
      <c r="W38" s="105"/>
      <c r="X38" s="105"/>
      <c r="Y38" s="105"/>
      <c r="Z38" s="105"/>
      <c r="AA38" s="105"/>
      <c r="AB38" s="105"/>
      <c r="AC38" s="105"/>
      <c r="AD38" s="105"/>
      <c r="AE38" s="105"/>
      <c r="AF38" s="105"/>
      <c r="AG38" s="105"/>
      <c r="AH38" s="105"/>
      <c r="AI38" s="105"/>
      <c r="AJ38" s="105"/>
      <c r="AK38" s="105"/>
      <c r="AL38" s="105"/>
      <c r="AM38" s="105"/>
      <c r="AN38" s="105"/>
      <c r="AO38" s="105"/>
      <c r="AP38" s="105"/>
      <c r="AQ38" s="105"/>
    </row>
    <row r="39" spans="1:43" ht="0.75" customHeight="1">
      <c r="A39" s="102"/>
      <c r="B39" s="103"/>
      <c r="C39" s="104"/>
      <c r="D39" s="104"/>
      <c r="E39" s="104"/>
      <c r="F39" s="104"/>
      <c r="G39" s="105"/>
      <c r="H39" s="105"/>
      <c r="I39" s="105"/>
      <c r="J39" s="105"/>
      <c r="K39" s="105"/>
      <c r="L39" s="105"/>
      <c r="M39" s="105"/>
      <c r="N39" s="105"/>
      <c r="O39" s="105"/>
      <c r="P39" s="105"/>
      <c r="Q39" s="105"/>
      <c r="R39" s="105"/>
      <c r="S39" s="105"/>
      <c r="T39" s="105"/>
      <c r="U39" s="105"/>
      <c r="V39" s="105"/>
      <c r="W39" s="105"/>
      <c r="X39" s="105"/>
      <c r="Y39" s="105"/>
      <c r="Z39" s="105"/>
      <c r="AA39" s="105"/>
      <c r="AB39" s="105"/>
      <c r="AC39" s="105"/>
      <c r="AD39" s="105"/>
      <c r="AE39" s="105"/>
      <c r="AF39" s="105"/>
      <c r="AG39" s="105"/>
      <c r="AH39" s="105"/>
      <c r="AI39" s="105"/>
      <c r="AJ39" s="105"/>
      <c r="AK39" s="105"/>
      <c r="AL39" s="105"/>
      <c r="AM39" s="105"/>
      <c r="AN39" s="105"/>
      <c r="AO39" s="105"/>
      <c r="AP39" s="105"/>
      <c r="AQ39" s="105"/>
    </row>
    <row r="40" spans="1:42" s="74" customFormat="1" ht="30.75" customHeight="1">
      <c r="A40" s="106"/>
      <c r="B40" s="1431" t="s">
        <v>314</v>
      </c>
      <c r="C40" s="1431"/>
      <c r="D40" s="1431"/>
      <c r="E40" s="1431"/>
      <c r="F40" s="1431"/>
      <c r="G40" s="1431"/>
      <c r="H40" s="1431"/>
      <c r="I40" s="1431"/>
      <c r="J40" s="1431"/>
      <c r="K40" s="1431"/>
      <c r="L40" s="1431"/>
      <c r="M40" s="1431"/>
      <c r="N40" s="1431"/>
      <c r="O40" s="1431"/>
      <c r="P40" s="1431"/>
      <c r="Q40" s="1431"/>
      <c r="R40" s="1431"/>
      <c r="S40" s="1431"/>
      <c r="T40" s="1431"/>
      <c r="U40" s="1431"/>
      <c r="V40" s="1431"/>
      <c r="W40" s="107"/>
      <c r="X40" s="107"/>
      <c r="Y40" s="107"/>
      <c r="Z40" s="107"/>
      <c r="AA40" s="107"/>
      <c r="AB40" s="107"/>
      <c r="AC40" s="107"/>
      <c r="AD40" s="107"/>
      <c r="AE40" s="107"/>
      <c r="AF40" s="107"/>
      <c r="AG40" s="107"/>
      <c r="AH40" s="107"/>
      <c r="AI40" s="107"/>
      <c r="AJ40" s="107"/>
      <c r="AK40" s="107"/>
      <c r="AL40" s="107"/>
      <c r="AM40" s="107"/>
      <c r="AN40" s="107"/>
      <c r="AO40" s="107"/>
      <c r="AP40" s="107"/>
    </row>
    <row r="41" spans="1:43" s="74" customFormat="1" ht="30.75" customHeight="1">
      <c r="A41" s="106"/>
      <c r="B41" s="1418" t="s">
        <v>315</v>
      </c>
      <c r="C41" s="1418"/>
      <c r="D41" s="1418"/>
      <c r="E41" s="1418"/>
      <c r="F41" s="1418"/>
      <c r="G41" s="1418"/>
      <c r="H41" s="1418"/>
      <c r="I41" s="1418"/>
      <c r="J41" s="1418"/>
      <c r="K41" s="1418"/>
      <c r="L41" s="1418"/>
      <c r="M41" s="1418"/>
      <c r="N41" s="1418"/>
      <c r="O41" s="1418"/>
      <c r="P41" s="1418"/>
      <c r="Q41" s="1418"/>
      <c r="R41" s="1418"/>
      <c r="S41" s="1418"/>
      <c r="T41" s="1418"/>
      <c r="U41" s="1418"/>
      <c r="V41" s="1418"/>
      <c r="W41" s="1418"/>
      <c r="X41" s="1418"/>
      <c r="Y41" s="1418"/>
      <c r="Z41" s="1418"/>
      <c r="AA41" s="1418"/>
      <c r="AB41" s="1418"/>
      <c r="AC41" s="1418"/>
      <c r="AD41" s="1418"/>
      <c r="AE41" s="1418"/>
      <c r="AF41" s="1418"/>
      <c r="AG41" s="1418"/>
      <c r="AH41" s="1418"/>
      <c r="AI41" s="1418"/>
      <c r="AJ41" s="1418"/>
      <c r="AK41" s="1418"/>
      <c r="AL41" s="1418"/>
      <c r="AM41" s="1418"/>
      <c r="AN41" s="1418"/>
      <c r="AO41" s="1418"/>
      <c r="AP41" s="1418"/>
      <c r="AQ41" s="1418"/>
    </row>
    <row r="42" spans="1:43" s="74" customFormat="1" ht="30.75" customHeight="1">
      <c r="A42" s="106"/>
      <c r="B42" s="1418" t="s">
        <v>316</v>
      </c>
      <c r="C42" s="1418"/>
      <c r="D42" s="1418"/>
      <c r="E42" s="1418"/>
      <c r="F42" s="1418"/>
      <c r="G42" s="1418"/>
      <c r="H42" s="1418"/>
      <c r="I42" s="1418"/>
      <c r="J42" s="1418"/>
      <c r="K42" s="1418"/>
      <c r="L42" s="1418"/>
      <c r="M42" s="1418"/>
      <c r="N42" s="1418"/>
      <c r="O42" s="1418"/>
      <c r="P42" s="1418"/>
      <c r="Q42" s="1418"/>
      <c r="R42" s="1418"/>
      <c r="S42" s="1418"/>
      <c r="T42" s="1418"/>
      <c r="U42" s="1418"/>
      <c r="V42" s="1418"/>
      <c r="W42" s="1418"/>
      <c r="X42" s="1418"/>
      <c r="Y42" s="1418"/>
      <c r="Z42" s="1418"/>
      <c r="AA42" s="1418"/>
      <c r="AB42" s="1418"/>
      <c r="AC42" s="1418"/>
      <c r="AD42" s="1418"/>
      <c r="AE42" s="1418"/>
      <c r="AF42" s="1418"/>
      <c r="AG42" s="1418"/>
      <c r="AH42" s="1418"/>
      <c r="AI42" s="1418"/>
      <c r="AJ42" s="1418"/>
      <c r="AK42" s="1418"/>
      <c r="AL42" s="1418"/>
      <c r="AM42" s="1418"/>
      <c r="AN42" s="1418"/>
      <c r="AO42" s="1418"/>
      <c r="AP42" s="1418"/>
      <c r="AQ42" s="1418"/>
    </row>
    <row r="43" spans="1:43" s="74" customFormat="1" ht="30.75" customHeight="1">
      <c r="A43" s="106"/>
      <c r="B43" s="1418" t="s">
        <v>317</v>
      </c>
      <c r="C43" s="1418"/>
      <c r="D43" s="1418"/>
      <c r="E43" s="1418"/>
      <c r="F43" s="1418"/>
      <c r="G43" s="1418"/>
      <c r="H43" s="1418"/>
      <c r="I43" s="1418"/>
      <c r="J43" s="1418"/>
      <c r="K43" s="1418"/>
      <c r="L43" s="1418"/>
      <c r="M43" s="1418"/>
      <c r="N43" s="1418"/>
      <c r="O43" s="1418"/>
      <c r="P43" s="1418"/>
      <c r="Q43" s="1418"/>
      <c r="R43" s="1418"/>
      <c r="S43" s="1418"/>
      <c r="T43" s="1418"/>
      <c r="U43" s="1418"/>
      <c r="V43" s="1418"/>
      <c r="W43" s="1418"/>
      <c r="X43" s="1418"/>
      <c r="Y43" s="1418"/>
      <c r="Z43" s="1418"/>
      <c r="AA43" s="1418"/>
      <c r="AB43" s="1418"/>
      <c r="AC43" s="1418"/>
      <c r="AD43" s="1418"/>
      <c r="AE43" s="1418"/>
      <c r="AF43" s="1418"/>
      <c r="AG43" s="1418"/>
      <c r="AH43" s="1418"/>
      <c r="AI43" s="1418"/>
      <c r="AJ43" s="1418"/>
      <c r="AK43" s="1418"/>
      <c r="AL43" s="1418"/>
      <c r="AM43" s="1418"/>
      <c r="AN43" s="1418"/>
      <c r="AO43" s="1418"/>
      <c r="AP43" s="1418"/>
      <c r="AQ43" s="1418"/>
    </row>
    <row r="44" spans="1:43" s="74" customFormat="1" ht="30.75" customHeight="1">
      <c r="A44" s="106"/>
      <c r="B44" s="1418" t="s">
        <v>318</v>
      </c>
      <c r="C44" s="1418"/>
      <c r="D44" s="1418"/>
      <c r="E44" s="1418"/>
      <c r="F44" s="1418"/>
      <c r="G44" s="1418"/>
      <c r="H44" s="1418"/>
      <c r="I44" s="1418"/>
      <c r="J44" s="1418"/>
      <c r="K44" s="1418"/>
      <c r="L44" s="1418"/>
      <c r="M44" s="1418"/>
      <c r="N44" s="1418"/>
      <c r="O44" s="1418"/>
      <c r="P44" s="1418"/>
      <c r="Q44" s="1418"/>
      <c r="R44" s="1418"/>
      <c r="S44" s="1418"/>
      <c r="T44" s="1418"/>
      <c r="U44" s="1418"/>
      <c r="V44" s="1418"/>
      <c r="W44" s="1418"/>
      <c r="X44" s="1418"/>
      <c r="Y44" s="1418"/>
      <c r="Z44" s="1418"/>
      <c r="AA44" s="1418"/>
      <c r="AB44" s="1418"/>
      <c r="AC44" s="1418"/>
      <c r="AD44" s="1418"/>
      <c r="AE44" s="1418"/>
      <c r="AF44" s="1418"/>
      <c r="AG44" s="1418"/>
      <c r="AH44" s="1418"/>
      <c r="AI44" s="1418"/>
      <c r="AJ44" s="1418"/>
      <c r="AK44" s="1418"/>
      <c r="AL44" s="1418"/>
      <c r="AM44" s="1418"/>
      <c r="AN44" s="1418"/>
      <c r="AO44" s="1418"/>
      <c r="AP44" s="1418"/>
      <c r="AQ44" s="1418"/>
    </row>
    <row r="45" spans="1:43" s="74" customFormat="1" ht="30.75" customHeight="1">
      <c r="A45" s="106"/>
      <c r="B45" s="1418" t="s">
        <v>319</v>
      </c>
      <c r="C45" s="1418"/>
      <c r="D45" s="1418"/>
      <c r="E45" s="1418"/>
      <c r="F45" s="1418"/>
      <c r="G45" s="1418"/>
      <c r="H45" s="1418"/>
      <c r="I45" s="1418"/>
      <c r="J45" s="1418"/>
      <c r="K45" s="1418"/>
      <c r="L45" s="1418"/>
      <c r="M45" s="1418"/>
      <c r="N45" s="1418"/>
      <c r="O45" s="1418"/>
      <c r="P45" s="1418"/>
      <c r="Q45" s="1418"/>
      <c r="R45" s="1418"/>
      <c r="S45" s="1418"/>
      <c r="T45" s="1418"/>
      <c r="U45" s="1418"/>
      <c r="V45" s="1418"/>
      <c r="W45" s="1418"/>
      <c r="X45" s="1418"/>
      <c r="Y45" s="1418"/>
      <c r="Z45" s="1418"/>
      <c r="AA45" s="1418"/>
      <c r="AB45" s="1418"/>
      <c r="AC45" s="1418"/>
      <c r="AD45" s="1418"/>
      <c r="AE45" s="1418"/>
      <c r="AF45" s="1418"/>
      <c r="AG45" s="1418"/>
      <c r="AH45" s="1418"/>
      <c r="AI45" s="1418"/>
      <c r="AJ45" s="1418"/>
      <c r="AK45" s="1418"/>
      <c r="AL45" s="1418"/>
      <c r="AM45" s="1418"/>
      <c r="AN45" s="1418"/>
      <c r="AO45" s="1418"/>
      <c r="AP45" s="1418"/>
      <c r="AQ45" s="1418"/>
    </row>
    <row r="46" spans="1:43" s="74" customFormat="1" ht="30.75" customHeight="1">
      <c r="A46" s="106"/>
      <c r="B46" s="1418" t="s">
        <v>320</v>
      </c>
      <c r="C46" s="1418"/>
      <c r="D46" s="1418"/>
      <c r="E46" s="1418"/>
      <c r="F46" s="1418"/>
      <c r="G46" s="1418"/>
      <c r="H46" s="1418"/>
      <c r="I46" s="1418"/>
      <c r="J46" s="1418"/>
      <c r="K46" s="1418"/>
      <c r="L46" s="1418"/>
      <c r="M46" s="1418"/>
      <c r="N46" s="1418"/>
      <c r="O46" s="1418"/>
      <c r="P46" s="1418"/>
      <c r="Q46" s="1418"/>
      <c r="R46" s="1418"/>
      <c r="S46" s="1418"/>
      <c r="T46" s="1418"/>
      <c r="U46" s="1418"/>
      <c r="V46" s="1418"/>
      <c r="W46" s="1418"/>
      <c r="X46" s="1418"/>
      <c r="Y46" s="1418"/>
      <c r="Z46" s="1418"/>
      <c r="AA46" s="1418"/>
      <c r="AB46" s="1418"/>
      <c r="AC46" s="1418"/>
      <c r="AD46" s="1418"/>
      <c r="AE46" s="1418"/>
      <c r="AF46" s="1418"/>
      <c r="AG46" s="1418"/>
      <c r="AH46" s="1418"/>
      <c r="AI46" s="1418"/>
      <c r="AJ46" s="1418"/>
      <c r="AK46" s="1418"/>
      <c r="AL46" s="1418"/>
      <c r="AM46" s="1418"/>
      <c r="AN46" s="1418"/>
      <c r="AO46" s="1418"/>
      <c r="AP46" s="1418"/>
      <c r="AQ46" s="1418"/>
    </row>
    <row r="47" spans="1:43" s="74" customFormat="1" ht="30.75" customHeight="1">
      <c r="A47" s="106"/>
      <c r="B47" s="1418" t="s">
        <v>321</v>
      </c>
      <c r="C47" s="1418"/>
      <c r="D47" s="1418"/>
      <c r="E47" s="1418"/>
      <c r="F47" s="1418"/>
      <c r="G47" s="1418"/>
      <c r="H47" s="1418"/>
      <c r="I47" s="1418"/>
      <c r="J47" s="1418"/>
      <c r="K47" s="1418"/>
      <c r="L47" s="1418"/>
      <c r="M47" s="1418"/>
      <c r="N47" s="1418"/>
      <c r="O47" s="1418"/>
      <c r="P47" s="1418"/>
      <c r="Q47" s="1418"/>
      <c r="R47" s="1418"/>
      <c r="S47" s="1418"/>
      <c r="T47" s="1418"/>
      <c r="U47" s="1418"/>
      <c r="V47" s="1418"/>
      <c r="W47" s="1418"/>
      <c r="X47" s="1418"/>
      <c r="Y47" s="1418"/>
      <c r="Z47" s="1418"/>
      <c r="AA47" s="1418"/>
      <c r="AB47" s="1418"/>
      <c r="AC47" s="1418"/>
      <c r="AD47" s="1418"/>
      <c r="AE47" s="1418"/>
      <c r="AF47" s="1418"/>
      <c r="AG47" s="1418"/>
      <c r="AH47" s="1418"/>
      <c r="AI47" s="1418"/>
      <c r="AJ47" s="1418"/>
      <c r="AK47" s="1418"/>
      <c r="AL47" s="1418"/>
      <c r="AM47" s="1418"/>
      <c r="AN47" s="1418"/>
      <c r="AO47" s="1418"/>
      <c r="AP47" s="1418"/>
      <c r="AQ47" s="1418"/>
    </row>
    <row r="48" spans="1:43" s="74" customFormat="1" ht="30.75" customHeight="1">
      <c r="A48" s="106"/>
      <c r="B48" s="1418" t="s">
        <v>322</v>
      </c>
      <c r="C48" s="1418"/>
      <c r="D48" s="1418"/>
      <c r="E48" s="1418"/>
      <c r="F48" s="1418"/>
      <c r="G48" s="1418"/>
      <c r="H48" s="1418"/>
      <c r="I48" s="1418"/>
      <c r="J48" s="1418"/>
      <c r="K48" s="1418"/>
      <c r="L48" s="1418"/>
      <c r="M48" s="1418"/>
      <c r="N48" s="1418"/>
      <c r="O48" s="1418"/>
      <c r="P48" s="1418"/>
      <c r="Q48" s="1418"/>
      <c r="R48" s="1418"/>
      <c r="S48" s="1418"/>
      <c r="T48" s="1418"/>
      <c r="U48" s="1418"/>
      <c r="V48" s="1418"/>
      <c r="W48" s="1418"/>
      <c r="X48" s="1418"/>
      <c r="Y48" s="1418"/>
      <c r="Z48" s="1418"/>
      <c r="AA48" s="1418"/>
      <c r="AB48" s="1418"/>
      <c r="AC48" s="1418"/>
      <c r="AD48" s="1418"/>
      <c r="AE48" s="1418"/>
      <c r="AF48" s="1418"/>
      <c r="AG48" s="1418"/>
      <c r="AH48" s="1418"/>
      <c r="AI48" s="1418"/>
      <c r="AJ48" s="1418"/>
      <c r="AK48" s="1418"/>
      <c r="AL48" s="1418"/>
      <c r="AM48" s="1418"/>
      <c r="AN48" s="1418"/>
      <c r="AO48" s="1418"/>
      <c r="AP48" s="1418"/>
      <c r="AQ48" s="1418"/>
    </row>
    <row r="49" spans="1:43" s="74" customFormat="1" ht="30.75" customHeight="1">
      <c r="A49" s="106"/>
      <c r="B49" s="1418" t="s">
        <v>323</v>
      </c>
      <c r="C49" s="1418"/>
      <c r="D49" s="1418"/>
      <c r="E49" s="1418"/>
      <c r="F49" s="1418"/>
      <c r="G49" s="1418"/>
      <c r="H49" s="1418"/>
      <c r="I49" s="1418"/>
      <c r="J49" s="1418"/>
      <c r="K49" s="1418"/>
      <c r="L49" s="1418"/>
      <c r="M49" s="1418"/>
      <c r="N49" s="1418"/>
      <c r="O49" s="1418"/>
      <c r="P49" s="1418"/>
      <c r="Q49" s="1418"/>
      <c r="R49" s="1418"/>
      <c r="S49" s="1418"/>
      <c r="T49" s="1418"/>
      <c r="U49" s="1418"/>
      <c r="V49" s="1418"/>
      <c r="W49" s="1418"/>
      <c r="X49" s="1418"/>
      <c r="Y49" s="1418"/>
      <c r="Z49" s="1418"/>
      <c r="AA49" s="1418"/>
      <c r="AB49" s="1418"/>
      <c r="AC49" s="1418"/>
      <c r="AD49" s="1418"/>
      <c r="AE49" s="1418"/>
      <c r="AF49" s="1418"/>
      <c r="AG49" s="1418"/>
      <c r="AH49" s="1418"/>
      <c r="AI49" s="1418"/>
      <c r="AJ49" s="1418"/>
      <c r="AK49" s="1418"/>
      <c r="AL49" s="1418"/>
      <c r="AM49" s="1418"/>
      <c r="AN49" s="1418"/>
      <c r="AO49" s="1418"/>
      <c r="AP49" s="1418"/>
      <c r="AQ49" s="1418"/>
    </row>
    <row r="50" spans="1:43" s="74" customFormat="1" ht="30.75" customHeight="1">
      <c r="A50" s="106"/>
      <c r="B50" s="1418" t="s">
        <v>324</v>
      </c>
      <c r="C50" s="1418"/>
      <c r="D50" s="1418"/>
      <c r="E50" s="1418"/>
      <c r="F50" s="1418"/>
      <c r="G50" s="1418"/>
      <c r="H50" s="1418"/>
      <c r="I50" s="1418"/>
      <c r="J50" s="1418"/>
      <c r="K50" s="1418"/>
      <c r="L50" s="1418"/>
      <c r="M50" s="1418"/>
      <c r="N50" s="1418"/>
      <c r="O50" s="1418"/>
      <c r="P50" s="1418"/>
      <c r="Q50" s="1418"/>
      <c r="R50" s="1418"/>
      <c r="S50" s="1418"/>
      <c r="T50" s="1418"/>
      <c r="U50" s="1418"/>
      <c r="V50" s="1418"/>
      <c r="W50" s="1418"/>
      <c r="X50" s="1418"/>
      <c r="Y50" s="1418"/>
      <c r="Z50" s="1418"/>
      <c r="AA50" s="1418"/>
      <c r="AB50" s="1418"/>
      <c r="AC50" s="1418"/>
      <c r="AD50" s="1418"/>
      <c r="AE50" s="1418"/>
      <c r="AF50" s="1418"/>
      <c r="AG50" s="1418"/>
      <c r="AH50" s="1418"/>
      <c r="AI50" s="1418"/>
      <c r="AJ50" s="1418"/>
      <c r="AK50" s="1418"/>
      <c r="AL50" s="1418"/>
      <c r="AM50" s="1418"/>
      <c r="AN50" s="1418"/>
      <c r="AO50" s="1418"/>
      <c r="AP50" s="1418"/>
      <c r="AQ50" s="1418"/>
    </row>
    <row r="51" spans="1:43" s="74" customFormat="1" ht="30.75" customHeight="1">
      <c r="A51" s="106"/>
      <c r="B51" s="1418" t="s">
        <v>325</v>
      </c>
      <c r="C51" s="1418"/>
      <c r="D51" s="1418"/>
      <c r="E51" s="1418"/>
      <c r="F51" s="1418"/>
      <c r="G51" s="1418"/>
      <c r="H51" s="1418"/>
      <c r="I51" s="1418"/>
      <c r="J51" s="1418"/>
      <c r="K51" s="1418"/>
      <c r="L51" s="1418"/>
      <c r="M51" s="1418"/>
      <c r="N51" s="1418"/>
      <c r="O51" s="1418"/>
      <c r="P51" s="1418"/>
      <c r="Q51" s="1418"/>
      <c r="R51" s="1418"/>
      <c r="S51" s="1418"/>
      <c r="T51" s="1418"/>
      <c r="U51" s="1418"/>
      <c r="V51" s="1418"/>
      <c r="W51" s="1418"/>
      <c r="X51" s="1418"/>
      <c r="Y51" s="1418"/>
      <c r="Z51" s="1418"/>
      <c r="AA51" s="1418"/>
      <c r="AB51" s="1418"/>
      <c r="AC51" s="1418"/>
      <c r="AD51" s="1418"/>
      <c r="AE51" s="1418"/>
      <c r="AF51" s="1418"/>
      <c r="AG51" s="1418"/>
      <c r="AH51" s="1418"/>
      <c r="AI51" s="1418"/>
      <c r="AJ51" s="1418"/>
      <c r="AK51" s="1418"/>
      <c r="AL51" s="1418"/>
      <c r="AM51" s="1418"/>
      <c r="AN51" s="1418"/>
      <c r="AO51" s="1418"/>
      <c r="AP51" s="1418"/>
      <c r="AQ51" s="1418"/>
    </row>
    <row r="52" spans="1:43" s="74" customFormat="1" ht="30.75" customHeight="1">
      <c r="A52" s="106"/>
      <c r="B52" s="1418" t="s">
        <v>326</v>
      </c>
      <c r="C52" s="1418"/>
      <c r="D52" s="1418"/>
      <c r="E52" s="1418"/>
      <c r="F52" s="1418"/>
      <c r="G52" s="1418"/>
      <c r="H52" s="1418"/>
      <c r="I52" s="1418"/>
      <c r="J52" s="1418"/>
      <c r="K52" s="1418"/>
      <c r="L52" s="1418"/>
      <c r="M52" s="1418"/>
      <c r="N52" s="1418"/>
      <c r="O52" s="1418"/>
      <c r="P52" s="1418"/>
      <c r="Q52" s="1418"/>
      <c r="R52" s="1418"/>
      <c r="S52" s="1418"/>
      <c r="T52" s="1418"/>
      <c r="U52" s="1418"/>
      <c r="V52" s="1418"/>
      <c r="W52" s="1418"/>
      <c r="X52" s="1418"/>
      <c r="Y52" s="1418"/>
      <c r="Z52" s="1418"/>
      <c r="AA52" s="1418"/>
      <c r="AB52" s="1418"/>
      <c r="AC52" s="1418"/>
      <c r="AD52" s="1418"/>
      <c r="AE52" s="1418"/>
      <c r="AF52" s="1418"/>
      <c r="AG52" s="1418"/>
      <c r="AH52" s="1418"/>
      <c r="AI52" s="1418"/>
      <c r="AJ52" s="1418"/>
      <c r="AK52" s="1418"/>
      <c r="AL52" s="1418"/>
      <c r="AM52" s="1418"/>
      <c r="AN52" s="1418"/>
      <c r="AO52" s="1418"/>
      <c r="AP52" s="1418"/>
      <c r="AQ52" s="1418"/>
    </row>
    <row r="53" spans="1:43" s="74" customFormat="1" ht="30.75" customHeight="1">
      <c r="A53" s="106"/>
      <c r="B53" s="1418" t="s">
        <v>327</v>
      </c>
      <c r="C53" s="1418"/>
      <c r="D53" s="1418"/>
      <c r="E53" s="1418"/>
      <c r="F53" s="1418"/>
      <c r="G53" s="1418"/>
      <c r="H53" s="1418"/>
      <c r="I53" s="1418"/>
      <c r="J53" s="1418"/>
      <c r="K53" s="1418"/>
      <c r="L53" s="1418"/>
      <c r="M53" s="1418"/>
      <c r="N53" s="1418"/>
      <c r="O53" s="1418"/>
      <c r="P53" s="1418"/>
      <c r="Q53" s="1418"/>
      <c r="R53" s="1418"/>
      <c r="S53" s="1418"/>
      <c r="T53" s="1418"/>
      <c r="U53" s="1418"/>
      <c r="V53" s="1418"/>
      <c r="W53" s="1418"/>
      <c r="X53" s="1418"/>
      <c r="Y53" s="1418"/>
      <c r="Z53" s="1418"/>
      <c r="AA53" s="1418"/>
      <c r="AB53" s="1418"/>
      <c r="AC53" s="1418"/>
      <c r="AD53" s="1418"/>
      <c r="AE53" s="1418"/>
      <c r="AF53" s="1418"/>
      <c r="AG53" s="1418"/>
      <c r="AH53" s="1418"/>
      <c r="AI53" s="1418"/>
      <c r="AJ53" s="1418"/>
      <c r="AK53" s="1418"/>
      <c r="AL53" s="1418"/>
      <c r="AM53" s="1418"/>
      <c r="AN53" s="1418"/>
      <c r="AO53" s="1418"/>
      <c r="AP53" s="1418"/>
      <c r="AQ53" s="1418"/>
    </row>
    <row r="54" spans="1:43" s="74" customFormat="1" ht="30.75" customHeight="1">
      <c r="A54" s="106"/>
      <c r="B54" s="1418" t="s">
        <v>328</v>
      </c>
      <c r="C54" s="1418"/>
      <c r="D54" s="1418"/>
      <c r="E54" s="1418"/>
      <c r="F54" s="1418"/>
      <c r="G54" s="1418"/>
      <c r="H54" s="1418"/>
      <c r="I54" s="1418"/>
      <c r="J54" s="1418"/>
      <c r="K54" s="1418"/>
      <c r="L54" s="1418"/>
      <c r="M54" s="1418"/>
      <c r="N54" s="1418"/>
      <c r="O54" s="1418"/>
      <c r="P54" s="1418"/>
      <c r="Q54" s="1418"/>
      <c r="R54" s="1418"/>
      <c r="S54" s="1418"/>
      <c r="T54" s="1418"/>
      <c r="U54" s="1418"/>
      <c r="V54" s="1418"/>
      <c r="W54" s="1418"/>
      <c r="X54" s="1418"/>
      <c r="Y54" s="1418"/>
      <c r="Z54" s="1418"/>
      <c r="AA54" s="1418"/>
      <c r="AB54" s="1418"/>
      <c r="AC54" s="1418"/>
      <c r="AD54" s="1418"/>
      <c r="AE54" s="1418"/>
      <c r="AF54" s="1418"/>
      <c r="AG54" s="1418"/>
      <c r="AH54" s="1418"/>
      <c r="AI54" s="1418"/>
      <c r="AJ54" s="1418"/>
      <c r="AK54" s="1418"/>
      <c r="AL54" s="1418"/>
      <c r="AM54" s="1418"/>
      <c r="AN54" s="1418"/>
      <c r="AO54" s="1418"/>
      <c r="AP54" s="1418"/>
      <c r="AQ54" s="1418"/>
    </row>
    <row r="55" spans="1:43" s="74" customFormat="1" ht="30.75" customHeight="1">
      <c r="A55" s="106"/>
      <c r="B55" s="1418" t="s">
        <v>329</v>
      </c>
      <c r="C55" s="1418"/>
      <c r="D55" s="1418"/>
      <c r="E55" s="1418"/>
      <c r="F55" s="1418"/>
      <c r="G55" s="1418"/>
      <c r="H55" s="1418"/>
      <c r="I55" s="1418"/>
      <c r="J55" s="1418"/>
      <c r="K55" s="1418"/>
      <c r="L55" s="1418"/>
      <c r="M55" s="1418"/>
      <c r="N55" s="1418"/>
      <c r="O55" s="1418"/>
      <c r="P55" s="1418"/>
      <c r="Q55" s="1418"/>
      <c r="R55" s="1418"/>
      <c r="S55" s="1418"/>
      <c r="T55" s="1418"/>
      <c r="U55" s="1418"/>
      <c r="V55" s="1418"/>
      <c r="W55" s="1418"/>
      <c r="X55" s="1418"/>
      <c r="Y55" s="1418"/>
      <c r="Z55" s="1418"/>
      <c r="AA55" s="1418"/>
      <c r="AB55" s="1418"/>
      <c r="AC55" s="1418"/>
      <c r="AD55" s="1418"/>
      <c r="AE55" s="1418"/>
      <c r="AF55" s="1418"/>
      <c r="AG55" s="1418"/>
      <c r="AH55" s="1418"/>
      <c r="AI55" s="1418"/>
      <c r="AJ55" s="1418"/>
      <c r="AK55" s="1418"/>
      <c r="AL55" s="1418"/>
      <c r="AM55" s="1418"/>
      <c r="AN55" s="1418"/>
      <c r="AO55" s="1418"/>
      <c r="AP55" s="1418"/>
      <c r="AQ55" s="1418"/>
    </row>
    <row r="56" spans="1:43" s="74" customFormat="1" ht="30.75" customHeight="1">
      <c r="A56" s="106"/>
      <c r="B56" s="1418" t="s">
        <v>330</v>
      </c>
      <c r="C56" s="1418"/>
      <c r="D56" s="1418"/>
      <c r="E56" s="1418"/>
      <c r="F56" s="1418"/>
      <c r="G56" s="1418"/>
      <c r="H56" s="1418"/>
      <c r="I56" s="1418"/>
      <c r="J56" s="1418"/>
      <c r="K56" s="1418"/>
      <c r="L56" s="1418"/>
      <c r="M56" s="1418"/>
      <c r="N56" s="1418"/>
      <c r="O56" s="1418"/>
      <c r="P56" s="1418"/>
      <c r="Q56" s="1418"/>
      <c r="R56" s="1418"/>
      <c r="S56" s="1418"/>
      <c r="T56" s="1418"/>
      <c r="U56" s="1418"/>
      <c r="V56" s="1418"/>
      <c r="W56" s="1418"/>
      <c r="X56" s="1418"/>
      <c r="Y56" s="1418"/>
      <c r="Z56" s="1418"/>
      <c r="AA56" s="1418"/>
      <c r="AB56" s="1418"/>
      <c r="AC56" s="1418"/>
      <c r="AD56" s="1418"/>
      <c r="AE56" s="1418"/>
      <c r="AF56" s="1418"/>
      <c r="AG56" s="1418"/>
      <c r="AH56" s="1418"/>
      <c r="AI56" s="1418"/>
      <c r="AJ56" s="1418"/>
      <c r="AK56" s="1418"/>
      <c r="AL56" s="1418"/>
      <c r="AM56" s="1418"/>
      <c r="AN56" s="1418"/>
      <c r="AO56" s="1418"/>
      <c r="AP56" s="1418"/>
      <c r="AQ56" s="1418"/>
    </row>
    <row r="57" spans="1:43" s="74" customFormat="1" ht="30.75" customHeight="1">
      <c r="A57" s="106"/>
      <c r="B57" s="1418" t="s">
        <v>331</v>
      </c>
      <c r="C57" s="1418"/>
      <c r="D57" s="1418"/>
      <c r="E57" s="1418"/>
      <c r="F57" s="1418"/>
      <c r="G57" s="1418"/>
      <c r="H57" s="1418"/>
      <c r="I57" s="1418"/>
      <c r="J57" s="1418"/>
      <c r="K57" s="1418"/>
      <c r="L57" s="1418"/>
      <c r="M57" s="1418"/>
      <c r="N57" s="1418"/>
      <c r="O57" s="1418"/>
      <c r="P57" s="1418"/>
      <c r="Q57" s="1418"/>
      <c r="R57" s="1418"/>
      <c r="S57" s="1418"/>
      <c r="T57" s="1418"/>
      <c r="U57" s="1418"/>
      <c r="V57" s="1418"/>
      <c r="W57" s="1418"/>
      <c r="X57" s="1418"/>
      <c r="Y57" s="1418"/>
      <c r="Z57" s="1418"/>
      <c r="AA57" s="1418"/>
      <c r="AB57" s="1418"/>
      <c r="AC57" s="1418"/>
      <c r="AD57" s="1418"/>
      <c r="AE57" s="1418"/>
      <c r="AF57" s="1418"/>
      <c r="AG57" s="1418"/>
      <c r="AH57" s="1418"/>
      <c r="AI57" s="1418"/>
      <c r="AJ57" s="1418"/>
      <c r="AK57" s="1418"/>
      <c r="AL57" s="1418"/>
      <c r="AM57" s="1418"/>
      <c r="AN57" s="1418"/>
      <c r="AO57" s="1418"/>
      <c r="AP57" s="1418"/>
      <c r="AQ57" s="1418"/>
    </row>
    <row r="58" spans="1:43" s="74" customFormat="1" ht="30.75" customHeight="1">
      <c r="A58" s="106"/>
      <c r="B58" s="1418" t="s">
        <v>332</v>
      </c>
      <c r="C58" s="1418"/>
      <c r="D58" s="1418"/>
      <c r="E58" s="1418"/>
      <c r="F58" s="1418"/>
      <c r="G58" s="1418"/>
      <c r="H58" s="1418"/>
      <c r="I58" s="1418"/>
      <c r="J58" s="1418"/>
      <c r="K58" s="1418"/>
      <c r="L58" s="1418"/>
      <c r="M58" s="1418"/>
      <c r="N58" s="1418"/>
      <c r="O58" s="1418"/>
      <c r="P58" s="1418"/>
      <c r="Q58" s="1418"/>
      <c r="R58" s="1418"/>
      <c r="S58" s="1418"/>
      <c r="T58" s="1418"/>
      <c r="U58" s="1418"/>
      <c r="V58" s="1418"/>
      <c r="W58" s="1418"/>
      <c r="X58" s="1418"/>
      <c r="Y58" s="1418"/>
      <c r="Z58" s="1418"/>
      <c r="AA58" s="1418"/>
      <c r="AB58" s="1418"/>
      <c r="AC58" s="1418"/>
      <c r="AD58" s="1418"/>
      <c r="AE58" s="1418"/>
      <c r="AF58" s="1418"/>
      <c r="AG58" s="1418"/>
      <c r="AH58" s="1418"/>
      <c r="AI58" s="1418"/>
      <c r="AJ58" s="1418"/>
      <c r="AK58" s="1418"/>
      <c r="AL58" s="1418"/>
      <c r="AM58" s="1418"/>
      <c r="AN58" s="1418"/>
      <c r="AO58" s="1418"/>
      <c r="AP58" s="1418"/>
      <c r="AQ58" s="1418"/>
    </row>
    <row r="59" spans="1:43" s="74" customFormat="1" ht="30.75" customHeight="1">
      <c r="A59" s="106"/>
      <c r="B59" s="1418" t="s">
        <v>333</v>
      </c>
      <c r="C59" s="1418"/>
      <c r="D59" s="1418"/>
      <c r="E59" s="1418"/>
      <c r="F59" s="1418"/>
      <c r="G59" s="1418"/>
      <c r="H59" s="1418"/>
      <c r="I59" s="1418"/>
      <c r="J59" s="1418"/>
      <c r="K59" s="1418"/>
      <c r="L59" s="1418"/>
      <c r="M59" s="1418"/>
      <c r="N59" s="1418"/>
      <c r="O59" s="1418"/>
      <c r="P59" s="1418"/>
      <c r="Q59" s="1418"/>
      <c r="R59" s="1418"/>
      <c r="S59" s="1418"/>
      <c r="T59" s="1418"/>
      <c r="U59" s="1418"/>
      <c r="V59" s="1418"/>
      <c r="W59" s="1418"/>
      <c r="X59" s="1418"/>
      <c r="Y59" s="1418"/>
      <c r="Z59" s="1418"/>
      <c r="AA59" s="1418"/>
      <c r="AB59" s="1418"/>
      <c r="AC59" s="1418"/>
      <c r="AD59" s="1418"/>
      <c r="AE59" s="1418"/>
      <c r="AF59" s="1418"/>
      <c r="AG59" s="1418"/>
      <c r="AH59" s="1418"/>
      <c r="AI59" s="1418"/>
      <c r="AJ59" s="1418"/>
      <c r="AK59" s="1418"/>
      <c r="AL59" s="1418"/>
      <c r="AM59" s="1418"/>
      <c r="AN59" s="1418"/>
      <c r="AO59" s="1418"/>
      <c r="AP59" s="1418"/>
      <c r="AQ59" s="1418"/>
    </row>
    <row r="60" spans="1:43" s="74" customFormat="1" ht="30.75" customHeight="1">
      <c r="A60" s="106"/>
      <c r="B60" s="1418" t="s">
        <v>334</v>
      </c>
      <c r="C60" s="1418"/>
      <c r="D60" s="1418"/>
      <c r="E60" s="1418"/>
      <c r="F60" s="1418"/>
      <c r="G60" s="1418"/>
      <c r="H60" s="1418"/>
      <c r="I60" s="1418"/>
      <c r="J60" s="1418"/>
      <c r="K60" s="1418"/>
      <c r="L60" s="1418"/>
      <c r="M60" s="1418"/>
      <c r="N60" s="1418"/>
      <c r="O60" s="1418"/>
      <c r="P60" s="1418"/>
      <c r="Q60" s="1418"/>
      <c r="R60" s="1418"/>
      <c r="S60" s="1418"/>
      <c r="T60" s="1418"/>
      <c r="U60" s="1418"/>
      <c r="V60" s="1418"/>
      <c r="W60" s="1418"/>
      <c r="X60" s="1418"/>
      <c r="Y60" s="1418"/>
      <c r="Z60" s="1418"/>
      <c r="AA60" s="1418"/>
      <c r="AB60" s="1418"/>
      <c r="AC60" s="1418"/>
      <c r="AD60" s="1418"/>
      <c r="AE60" s="1418"/>
      <c r="AF60" s="1418"/>
      <c r="AG60" s="1418"/>
      <c r="AH60" s="1418"/>
      <c r="AI60" s="1418"/>
      <c r="AJ60" s="1418"/>
      <c r="AK60" s="1418"/>
      <c r="AL60" s="1418"/>
      <c r="AM60" s="1418"/>
      <c r="AN60" s="1418"/>
      <c r="AO60" s="1418"/>
      <c r="AP60" s="1418"/>
      <c r="AQ60" s="1418"/>
    </row>
    <row r="61" spans="1:43" s="74" customFormat="1" ht="30.75" customHeight="1">
      <c r="A61" s="106"/>
      <c r="B61" s="1418" t="s">
        <v>335</v>
      </c>
      <c r="C61" s="1418"/>
      <c r="D61" s="1418"/>
      <c r="E61" s="1418"/>
      <c r="F61" s="1418"/>
      <c r="G61" s="1418"/>
      <c r="H61" s="1418"/>
      <c r="I61" s="1418"/>
      <c r="J61" s="1418"/>
      <c r="K61" s="1418"/>
      <c r="L61" s="1418"/>
      <c r="M61" s="1418"/>
      <c r="N61" s="1418"/>
      <c r="O61" s="1418"/>
      <c r="P61" s="1418"/>
      <c r="Q61" s="1418"/>
      <c r="R61" s="1418"/>
      <c r="S61" s="1418"/>
      <c r="T61" s="1418"/>
      <c r="U61" s="1418"/>
      <c r="V61" s="1418"/>
      <c r="W61" s="1418"/>
      <c r="X61" s="1418"/>
      <c r="Y61" s="1418"/>
      <c r="Z61" s="1418"/>
      <c r="AA61" s="1418"/>
      <c r="AB61" s="1418"/>
      <c r="AC61" s="1418"/>
      <c r="AD61" s="1418"/>
      <c r="AE61" s="1418"/>
      <c r="AF61" s="1418"/>
      <c r="AG61" s="1418"/>
      <c r="AH61" s="1418"/>
      <c r="AI61" s="1418"/>
      <c r="AJ61" s="1418"/>
      <c r="AK61" s="1418"/>
      <c r="AL61" s="1418"/>
      <c r="AM61" s="1418"/>
      <c r="AN61" s="1418"/>
      <c r="AO61" s="1418"/>
      <c r="AP61" s="1418"/>
      <c r="AQ61" s="1418"/>
    </row>
    <row r="62" spans="1:43" s="74" customFormat="1" ht="30.75" customHeight="1">
      <c r="A62" s="106"/>
      <c r="B62" s="1418" t="s">
        <v>336</v>
      </c>
      <c r="C62" s="1418"/>
      <c r="D62" s="1418"/>
      <c r="E62" s="1418"/>
      <c r="F62" s="1418"/>
      <c r="G62" s="1418"/>
      <c r="H62" s="1418"/>
      <c r="I62" s="1418"/>
      <c r="J62" s="1418"/>
      <c r="K62" s="1418"/>
      <c r="L62" s="1418"/>
      <c r="M62" s="1418"/>
      <c r="N62" s="1418"/>
      <c r="O62" s="1418"/>
      <c r="P62" s="1418"/>
      <c r="Q62" s="1418"/>
      <c r="R62" s="1418"/>
      <c r="S62" s="1418"/>
      <c r="T62" s="1418"/>
      <c r="U62" s="1418"/>
      <c r="V62" s="1418"/>
      <c r="W62" s="1418"/>
      <c r="X62" s="1418"/>
      <c r="Y62" s="1418"/>
      <c r="Z62" s="1418"/>
      <c r="AA62" s="1418"/>
      <c r="AB62" s="1418"/>
      <c r="AC62" s="1418"/>
      <c r="AD62" s="1418"/>
      <c r="AE62" s="1418"/>
      <c r="AF62" s="1418"/>
      <c r="AG62" s="1418"/>
      <c r="AH62" s="1418"/>
      <c r="AI62" s="1418"/>
      <c r="AJ62" s="1418"/>
      <c r="AK62" s="1418"/>
      <c r="AL62" s="1418"/>
      <c r="AM62" s="1418"/>
      <c r="AN62" s="1418"/>
      <c r="AO62" s="1418"/>
      <c r="AP62" s="1418"/>
      <c r="AQ62" s="1418"/>
    </row>
    <row r="63" spans="1:43" s="74" customFormat="1" ht="30.75" customHeight="1">
      <c r="A63" s="106"/>
      <c r="B63" s="1418" t="s">
        <v>337</v>
      </c>
      <c r="C63" s="1418"/>
      <c r="D63" s="1418"/>
      <c r="E63" s="1418"/>
      <c r="F63" s="1418"/>
      <c r="G63" s="1418"/>
      <c r="H63" s="1418"/>
      <c r="I63" s="1418"/>
      <c r="J63" s="1418"/>
      <c r="K63" s="1418"/>
      <c r="L63" s="1418"/>
      <c r="M63" s="1418"/>
      <c r="N63" s="1418"/>
      <c r="O63" s="1418"/>
      <c r="P63" s="1418"/>
      <c r="Q63" s="1418"/>
      <c r="R63" s="1418"/>
      <c r="S63" s="1418"/>
      <c r="T63" s="1418"/>
      <c r="U63" s="1418"/>
      <c r="V63" s="1418"/>
      <c r="W63" s="1418"/>
      <c r="X63" s="1418"/>
      <c r="Y63" s="1418"/>
      <c r="Z63" s="1418"/>
      <c r="AA63" s="1418"/>
      <c r="AB63" s="1418"/>
      <c r="AC63" s="1418"/>
      <c r="AD63" s="1418"/>
      <c r="AE63" s="1418"/>
      <c r="AF63" s="1418"/>
      <c r="AG63" s="1418"/>
      <c r="AH63" s="1418"/>
      <c r="AI63" s="1418"/>
      <c r="AJ63" s="1418"/>
      <c r="AK63" s="1418"/>
      <c r="AL63" s="1418"/>
      <c r="AM63" s="1418"/>
      <c r="AN63" s="1418"/>
      <c r="AO63" s="1418"/>
      <c r="AP63" s="1418"/>
      <c r="AQ63" s="1418"/>
    </row>
    <row r="64" spans="1:43" s="74" customFormat="1" ht="30.75" customHeight="1">
      <c r="A64" s="106"/>
      <c r="B64" s="1418" t="s">
        <v>338</v>
      </c>
      <c r="C64" s="1418"/>
      <c r="D64" s="1418"/>
      <c r="E64" s="1418"/>
      <c r="F64" s="1418"/>
      <c r="G64" s="1418"/>
      <c r="H64" s="1418"/>
      <c r="I64" s="1418"/>
      <c r="J64" s="1418"/>
      <c r="K64" s="1418"/>
      <c r="L64" s="1418"/>
      <c r="M64" s="1418"/>
      <c r="N64" s="1418"/>
      <c r="O64" s="1418"/>
      <c r="P64" s="1418"/>
      <c r="Q64" s="1418"/>
      <c r="R64" s="1418"/>
      <c r="S64" s="1418"/>
      <c r="T64" s="1418"/>
      <c r="U64" s="1418"/>
      <c r="V64" s="1418"/>
      <c r="W64" s="1418"/>
      <c r="X64" s="1418"/>
      <c r="Y64" s="1418"/>
      <c r="Z64" s="1418"/>
      <c r="AA64" s="1418"/>
      <c r="AB64" s="1418"/>
      <c r="AC64" s="1418"/>
      <c r="AD64" s="1418"/>
      <c r="AE64" s="1418"/>
      <c r="AF64" s="1418"/>
      <c r="AG64" s="1418"/>
      <c r="AH64" s="1418"/>
      <c r="AI64" s="1418"/>
      <c r="AJ64" s="1418"/>
      <c r="AK64" s="1418"/>
      <c r="AL64" s="1418"/>
      <c r="AM64" s="1418"/>
      <c r="AN64" s="1418"/>
      <c r="AO64" s="1418"/>
      <c r="AP64" s="1418"/>
      <c r="AQ64" s="1418"/>
    </row>
    <row r="65" spans="1:43" s="74" customFormat="1" ht="30.75" customHeight="1">
      <c r="A65" s="106"/>
      <c r="B65" s="1418" t="s">
        <v>339</v>
      </c>
      <c r="C65" s="1418"/>
      <c r="D65" s="1418"/>
      <c r="E65" s="1418"/>
      <c r="F65" s="1418"/>
      <c r="G65" s="1418"/>
      <c r="H65" s="1418"/>
      <c r="I65" s="1418"/>
      <c r="J65" s="1418"/>
      <c r="K65" s="1418"/>
      <c r="L65" s="1418"/>
      <c r="M65" s="1418"/>
      <c r="N65" s="1418"/>
      <c r="O65" s="1418"/>
      <c r="P65" s="1418"/>
      <c r="Q65" s="1418"/>
      <c r="R65" s="1418"/>
      <c r="S65" s="1418"/>
      <c r="T65" s="1418"/>
      <c r="U65" s="1418"/>
      <c r="V65" s="1418"/>
      <c r="W65" s="1418"/>
      <c r="X65" s="1418"/>
      <c r="Y65" s="1418"/>
      <c r="Z65" s="1418"/>
      <c r="AA65" s="1418"/>
      <c r="AB65" s="1418"/>
      <c r="AC65" s="1418"/>
      <c r="AD65" s="1418"/>
      <c r="AE65" s="1418"/>
      <c r="AF65" s="1418"/>
      <c r="AG65" s="1418"/>
      <c r="AH65" s="1418"/>
      <c r="AI65" s="1418"/>
      <c r="AJ65" s="1418"/>
      <c r="AK65" s="1418"/>
      <c r="AL65" s="1418"/>
      <c r="AM65" s="1418"/>
      <c r="AN65" s="1418"/>
      <c r="AO65" s="1418"/>
      <c r="AP65" s="1418"/>
      <c r="AQ65" s="1418"/>
    </row>
    <row r="66" spans="1:43" s="74" customFormat="1" ht="30.75" customHeight="1">
      <c r="A66" s="106"/>
      <c r="B66" s="1418" t="s">
        <v>340</v>
      </c>
      <c r="C66" s="1418"/>
      <c r="D66" s="1418"/>
      <c r="E66" s="1418"/>
      <c r="F66" s="1418"/>
      <c r="G66" s="1418"/>
      <c r="H66" s="1418"/>
      <c r="I66" s="1418"/>
      <c r="J66" s="1418"/>
      <c r="K66" s="1418"/>
      <c r="L66" s="1418"/>
      <c r="M66" s="1418"/>
      <c r="N66" s="1418"/>
      <c r="O66" s="1418"/>
      <c r="P66" s="1418"/>
      <c r="Q66" s="1418"/>
      <c r="R66" s="1418"/>
      <c r="S66" s="1418"/>
      <c r="T66" s="1418"/>
      <c r="U66" s="1418"/>
      <c r="V66" s="1418"/>
      <c r="W66" s="1418"/>
      <c r="X66" s="1418"/>
      <c r="Y66" s="1418"/>
      <c r="Z66" s="1418"/>
      <c r="AA66" s="1418"/>
      <c r="AB66" s="1418"/>
      <c r="AC66" s="1418"/>
      <c r="AD66" s="1418"/>
      <c r="AE66" s="1418"/>
      <c r="AF66" s="1418"/>
      <c r="AG66" s="1418"/>
      <c r="AH66" s="1418"/>
      <c r="AI66" s="1418"/>
      <c r="AJ66" s="1418"/>
      <c r="AK66" s="1418"/>
      <c r="AL66" s="1418"/>
      <c r="AM66" s="1418"/>
      <c r="AN66" s="1418"/>
      <c r="AO66" s="1418"/>
      <c r="AP66" s="1418"/>
      <c r="AQ66" s="1418"/>
    </row>
    <row r="67" spans="1:43" s="74" customFormat="1" ht="30.75" customHeight="1">
      <c r="A67" s="106"/>
      <c r="B67" s="1418" t="s">
        <v>341</v>
      </c>
      <c r="C67" s="1418"/>
      <c r="D67" s="1418"/>
      <c r="E67" s="1418"/>
      <c r="F67" s="1418"/>
      <c r="G67" s="1418"/>
      <c r="H67" s="1418"/>
      <c r="I67" s="1418"/>
      <c r="J67" s="1418"/>
      <c r="K67" s="1418"/>
      <c r="L67" s="1418"/>
      <c r="M67" s="1418"/>
      <c r="N67" s="1418"/>
      <c r="O67" s="1418"/>
      <c r="P67" s="1418"/>
      <c r="Q67" s="1418"/>
      <c r="R67" s="1418"/>
      <c r="S67" s="1418"/>
      <c r="T67" s="1418"/>
      <c r="U67" s="1418"/>
      <c r="V67" s="1418"/>
      <c r="W67" s="1418"/>
      <c r="X67" s="1418"/>
      <c r="Y67" s="1418"/>
      <c r="Z67" s="1418"/>
      <c r="AA67" s="1418"/>
      <c r="AB67" s="1418"/>
      <c r="AC67" s="1418"/>
      <c r="AD67" s="1418"/>
      <c r="AE67" s="1418"/>
      <c r="AF67" s="1418"/>
      <c r="AG67" s="1418"/>
      <c r="AH67" s="1418"/>
      <c r="AI67" s="1418"/>
      <c r="AJ67" s="1418"/>
      <c r="AK67" s="1418"/>
      <c r="AL67" s="1418"/>
      <c r="AM67" s="1418"/>
      <c r="AN67" s="1418"/>
      <c r="AO67" s="1418"/>
      <c r="AP67" s="1418"/>
      <c r="AQ67" s="1418"/>
    </row>
    <row r="68" spans="1:43" s="74" customFormat="1" ht="30.75" customHeight="1">
      <c r="A68" s="106"/>
      <c r="B68" s="1418" t="s">
        <v>342</v>
      </c>
      <c r="C68" s="1418"/>
      <c r="D68" s="1418"/>
      <c r="E68" s="1418"/>
      <c r="F68" s="1418"/>
      <c r="G68" s="1418"/>
      <c r="H68" s="1418"/>
      <c r="I68" s="1418"/>
      <c r="J68" s="1418"/>
      <c r="K68" s="1418"/>
      <c r="L68" s="1418"/>
      <c r="M68" s="1418"/>
      <c r="N68" s="1418"/>
      <c r="O68" s="1418"/>
      <c r="P68" s="1418"/>
      <c r="Q68" s="1418"/>
      <c r="R68" s="1418"/>
      <c r="S68" s="1418"/>
      <c r="T68" s="1418"/>
      <c r="U68" s="1418"/>
      <c r="V68" s="1418"/>
      <c r="W68" s="1418"/>
      <c r="X68" s="1418"/>
      <c r="Y68" s="1418"/>
      <c r="Z68" s="1418"/>
      <c r="AA68" s="1418"/>
      <c r="AB68" s="1418"/>
      <c r="AC68" s="1418"/>
      <c r="AD68" s="1418"/>
      <c r="AE68" s="1418"/>
      <c r="AF68" s="1418"/>
      <c r="AG68" s="1418"/>
      <c r="AH68" s="1418"/>
      <c r="AI68" s="1418"/>
      <c r="AJ68" s="1418"/>
      <c r="AK68" s="1418"/>
      <c r="AL68" s="1418"/>
      <c r="AM68" s="1418"/>
      <c r="AN68" s="1418"/>
      <c r="AO68" s="1418"/>
      <c r="AP68" s="1418"/>
      <c r="AQ68" s="1418"/>
    </row>
    <row r="69" spans="1:43" s="74" customFormat="1" ht="30.75" customHeight="1">
      <c r="A69" s="106"/>
      <c r="B69" s="1418" t="s">
        <v>343</v>
      </c>
      <c r="C69" s="1418"/>
      <c r="D69" s="1418"/>
      <c r="E69" s="1418"/>
      <c r="F69" s="1418"/>
      <c r="G69" s="1418"/>
      <c r="H69" s="1418"/>
      <c r="I69" s="1418"/>
      <c r="J69" s="1418"/>
      <c r="K69" s="1418"/>
      <c r="L69" s="1418"/>
      <c r="M69" s="1418"/>
      <c r="N69" s="1418"/>
      <c r="O69" s="1418"/>
      <c r="P69" s="1418"/>
      <c r="Q69" s="1418"/>
      <c r="R69" s="1418"/>
      <c r="S69" s="1418"/>
      <c r="T69" s="1418"/>
      <c r="U69" s="1418"/>
      <c r="V69" s="1418"/>
      <c r="W69" s="1418"/>
      <c r="X69" s="1418"/>
      <c r="Y69" s="1418"/>
      <c r="Z69" s="1418"/>
      <c r="AA69" s="1418"/>
      <c r="AB69" s="1418"/>
      <c r="AC69" s="1418"/>
      <c r="AD69" s="1418"/>
      <c r="AE69" s="1418"/>
      <c r="AF69" s="1418"/>
      <c r="AG69" s="1418"/>
      <c r="AH69" s="1418"/>
      <c r="AI69" s="1418"/>
      <c r="AJ69" s="1418"/>
      <c r="AK69" s="1418"/>
      <c r="AL69" s="1418"/>
      <c r="AM69" s="1418"/>
      <c r="AN69" s="1418"/>
      <c r="AO69" s="1418"/>
      <c r="AP69" s="1418"/>
      <c r="AQ69" s="1418"/>
    </row>
    <row r="70" spans="1:43" s="74" customFormat="1" ht="30.75" customHeight="1">
      <c r="A70" s="106"/>
      <c r="B70" s="1418" t="s">
        <v>344</v>
      </c>
      <c r="C70" s="1418"/>
      <c r="D70" s="1418"/>
      <c r="E70" s="1418"/>
      <c r="F70" s="1418"/>
      <c r="G70" s="1418"/>
      <c r="H70" s="1418"/>
      <c r="I70" s="1418"/>
      <c r="J70" s="1418"/>
      <c r="K70" s="1418"/>
      <c r="L70" s="1418"/>
      <c r="M70" s="1418"/>
      <c r="N70" s="1418"/>
      <c r="O70" s="1418"/>
      <c r="P70" s="1418"/>
      <c r="Q70" s="1418"/>
      <c r="R70" s="1418"/>
      <c r="S70" s="1418"/>
      <c r="T70" s="1418"/>
      <c r="U70" s="1418"/>
      <c r="V70" s="1418"/>
      <c r="W70" s="1418"/>
      <c r="X70" s="1418"/>
      <c r="Y70" s="1418"/>
      <c r="Z70" s="1418"/>
      <c r="AA70" s="1418"/>
      <c r="AB70" s="1418"/>
      <c r="AC70" s="1418"/>
      <c r="AD70" s="1418"/>
      <c r="AE70" s="1418"/>
      <c r="AF70" s="1418"/>
      <c r="AG70" s="1418"/>
      <c r="AH70" s="1418"/>
      <c r="AI70" s="1418"/>
      <c r="AJ70" s="1418"/>
      <c r="AK70" s="1418"/>
      <c r="AL70" s="1418"/>
      <c r="AM70" s="1418"/>
      <c r="AN70" s="1418"/>
      <c r="AO70" s="1418"/>
      <c r="AP70" s="1418"/>
      <c r="AQ70" s="1418"/>
    </row>
    <row r="71" spans="1:43" s="74" customFormat="1" ht="30.75" customHeight="1">
      <c r="A71" s="106"/>
      <c r="B71" s="1418" t="s">
        <v>345</v>
      </c>
      <c r="C71" s="1418"/>
      <c r="D71" s="1418"/>
      <c r="E71" s="1418"/>
      <c r="F71" s="1418"/>
      <c r="G71" s="1418"/>
      <c r="H71" s="1418"/>
      <c r="I71" s="1418"/>
      <c r="J71" s="1418"/>
      <c r="K71" s="1418"/>
      <c r="L71" s="1418"/>
      <c r="M71" s="1418"/>
      <c r="N71" s="1418"/>
      <c r="O71" s="1418"/>
      <c r="P71" s="1418"/>
      <c r="Q71" s="1418"/>
      <c r="R71" s="1418"/>
      <c r="S71" s="1418"/>
      <c r="T71" s="1418"/>
      <c r="U71" s="1418"/>
      <c r="V71" s="1418"/>
      <c r="W71" s="1418"/>
      <c r="X71" s="1418"/>
      <c r="Y71" s="1418"/>
      <c r="Z71" s="1418"/>
      <c r="AA71" s="1418"/>
      <c r="AB71" s="1418"/>
      <c r="AC71" s="1418"/>
      <c r="AD71" s="1418"/>
      <c r="AE71" s="1418"/>
      <c r="AF71" s="1418"/>
      <c r="AG71" s="1418"/>
      <c r="AH71" s="1418"/>
      <c r="AI71" s="1418"/>
      <c r="AJ71" s="1418"/>
      <c r="AK71" s="1418"/>
      <c r="AL71" s="1418"/>
      <c r="AM71" s="1418"/>
      <c r="AN71" s="1418"/>
      <c r="AO71" s="1418"/>
      <c r="AP71" s="1418"/>
      <c r="AQ71" s="1418"/>
    </row>
    <row r="72" spans="1:43" s="74" customFormat="1" ht="30.75" customHeight="1">
      <c r="A72" s="106"/>
      <c r="B72" s="1418" t="s">
        <v>346</v>
      </c>
      <c r="C72" s="1418"/>
      <c r="D72" s="1418"/>
      <c r="E72" s="1418"/>
      <c r="F72" s="1418"/>
      <c r="G72" s="1418"/>
      <c r="H72" s="1418"/>
      <c r="I72" s="1418"/>
      <c r="J72" s="1418"/>
      <c r="K72" s="1418"/>
      <c r="L72" s="1418"/>
      <c r="M72" s="1418"/>
      <c r="N72" s="1418"/>
      <c r="O72" s="1418"/>
      <c r="P72" s="1418"/>
      <c r="Q72" s="1418"/>
      <c r="R72" s="1418"/>
      <c r="S72" s="1418"/>
      <c r="T72" s="1418"/>
      <c r="U72" s="1418"/>
      <c r="V72" s="1418"/>
      <c r="W72" s="1418"/>
      <c r="X72" s="1418"/>
      <c r="Y72" s="1418"/>
      <c r="Z72" s="1418"/>
      <c r="AA72" s="1418"/>
      <c r="AB72" s="1418"/>
      <c r="AC72" s="1418"/>
      <c r="AD72" s="1418"/>
      <c r="AE72" s="1418"/>
      <c r="AF72" s="1418"/>
      <c r="AG72" s="1418"/>
      <c r="AH72" s="1418"/>
      <c r="AI72" s="1418"/>
      <c r="AJ72" s="1418"/>
      <c r="AK72" s="1418"/>
      <c r="AL72" s="1418"/>
      <c r="AM72" s="1418"/>
      <c r="AN72" s="1418"/>
      <c r="AO72" s="1418"/>
      <c r="AP72" s="1418"/>
      <c r="AQ72" s="1418"/>
    </row>
    <row r="73" spans="1:43" s="74" customFormat="1" ht="30.75" customHeight="1">
      <c r="A73" s="106"/>
      <c r="B73" s="1418" t="s">
        <v>347</v>
      </c>
      <c r="C73" s="1418"/>
      <c r="D73" s="1418"/>
      <c r="E73" s="1418"/>
      <c r="F73" s="1418"/>
      <c r="G73" s="1418"/>
      <c r="H73" s="1418"/>
      <c r="I73" s="1418"/>
      <c r="J73" s="1418"/>
      <c r="K73" s="1418"/>
      <c r="L73" s="1418"/>
      <c r="M73" s="1418"/>
      <c r="N73" s="1418"/>
      <c r="O73" s="1418"/>
      <c r="P73" s="1418"/>
      <c r="Q73" s="1418"/>
      <c r="R73" s="1418"/>
      <c r="S73" s="1418"/>
      <c r="T73" s="1418"/>
      <c r="U73" s="1418"/>
      <c r="V73" s="1418"/>
      <c r="W73" s="1418"/>
      <c r="X73" s="1418"/>
      <c r="Y73" s="1418"/>
      <c r="Z73" s="1418"/>
      <c r="AA73" s="1418"/>
      <c r="AB73" s="1418"/>
      <c r="AC73" s="1418"/>
      <c r="AD73" s="1418"/>
      <c r="AE73" s="1418"/>
      <c r="AF73" s="1418"/>
      <c r="AG73" s="1418"/>
      <c r="AH73" s="1418"/>
      <c r="AI73" s="1418"/>
      <c r="AJ73" s="1418"/>
      <c r="AK73" s="1418"/>
      <c r="AL73" s="1418"/>
      <c r="AM73" s="1418"/>
      <c r="AN73" s="1418"/>
      <c r="AO73" s="1418"/>
      <c r="AP73" s="1418"/>
      <c r="AQ73" s="1418"/>
    </row>
    <row r="74" spans="1:43" s="74" customFormat="1" ht="30.75" customHeight="1">
      <c r="A74" s="106"/>
      <c r="B74" s="1418" t="s">
        <v>348</v>
      </c>
      <c r="C74" s="1418"/>
      <c r="D74" s="1418"/>
      <c r="E74" s="1418"/>
      <c r="F74" s="1418"/>
      <c r="G74" s="1418"/>
      <c r="H74" s="1418"/>
      <c r="I74" s="1418"/>
      <c r="J74" s="1418"/>
      <c r="K74" s="1418"/>
      <c r="L74" s="1418"/>
      <c r="M74" s="1418"/>
      <c r="N74" s="1418"/>
      <c r="O74" s="1418"/>
      <c r="P74" s="1418"/>
      <c r="Q74" s="1418"/>
      <c r="R74" s="1418"/>
      <c r="S74" s="1418"/>
      <c r="T74" s="1418"/>
      <c r="U74" s="1418"/>
      <c r="V74" s="1418"/>
      <c r="W74" s="1418"/>
      <c r="X74" s="1418"/>
      <c r="Y74" s="1418"/>
      <c r="Z74" s="1418"/>
      <c r="AA74" s="1418"/>
      <c r="AB74" s="1418"/>
      <c r="AC74" s="1418"/>
      <c r="AD74" s="1418"/>
      <c r="AE74" s="1418"/>
      <c r="AF74" s="1418"/>
      <c r="AG74" s="1418"/>
      <c r="AH74" s="1418"/>
      <c r="AI74" s="1418"/>
      <c r="AJ74" s="1418"/>
      <c r="AK74" s="1418"/>
      <c r="AL74" s="1418"/>
      <c r="AM74" s="1418"/>
      <c r="AN74" s="1418"/>
      <c r="AO74" s="1418"/>
      <c r="AP74" s="1418"/>
      <c r="AQ74" s="1418"/>
    </row>
    <row r="75" spans="1:43" s="74" customFormat="1" ht="30.75" customHeight="1">
      <c r="A75" s="106"/>
      <c r="B75" s="1418" t="s">
        <v>349</v>
      </c>
      <c r="C75" s="1418"/>
      <c r="D75" s="1418"/>
      <c r="E75" s="1418"/>
      <c r="F75" s="1418"/>
      <c r="G75" s="1418"/>
      <c r="H75" s="1418"/>
      <c r="I75" s="1418"/>
      <c r="J75" s="1418"/>
      <c r="K75" s="1418"/>
      <c r="L75" s="1418"/>
      <c r="M75" s="1418"/>
      <c r="N75" s="1418"/>
      <c r="O75" s="1418"/>
      <c r="P75" s="1418"/>
      <c r="Q75" s="1418"/>
      <c r="R75" s="1418"/>
      <c r="S75" s="1418"/>
      <c r="T75" s="1418"/>
      <c r="U75" s="1418"/>
      <c r="V75" s="1418"/>
      <c r="W75" s="1418"/>
      <c r="X75" s="1418"/>
      <c r="Y75" s="1418"/>
      <c r="Z75" s="1418"/>
      <c r="AA75" s="1418"/>
      <c r="AB75" s="1418"/>
      <c r="AC75" s="1418"/>
      <c r="AD75" s="1418"/>
      <c r="AE75" s="1418"/>
      <c r="AF75" s="1418"/>
      <c r="AG75" s="1418"/>
      <c r="AH75" s="1418"/>
      <c r="AI75" s="1418"/>
      <c r="AJ75" s="1418"/>
      <c r="AK75" s="1418"/>
      <c r="AL75" s="1418"/>
      <c r="AM75" s="1418"/>
      <c r="AN75" s="1418"/>
      <c r="AO75" s="1418"/>
      <c r="AP75" s="1418"/>
      <c r="AQ75" s="1418"/>
    </row>
    <row r="76" spans="2:42" ht="19.5" customHeight="1">
      <c r="B76" s="1420"/>
      <c r="C76" s="1420"/>
      <c r="D76" s="1420"/>
      <c r="E76" s="1420"/>
      <c r="F76" s="1420"/>
      <c r="G76" s="1420"/>
      <c r="H76" s="1420"/>
      <c r="I76" s="1420"/>
      <c r="J76" s="1420"/>
      <c r="K76" s="1420"/>
      <c r="L76" s="1420"/>
      <c r="M76" s="1420"/>
      <c r="N76" s="1420"/>
      <c r="O76" s="1420"/>
      <c r="P76" s="1420"/>
      <c r="Q76" s="1420"/>
      <c r="R76" s="1420"/>
      <c r="S76" s="1420"/>
      <c r="T76" s="1420"/>
      <c r="U76" s="1420"/>
      <c r="V76" s="1420"/>
      <c r="W76" s="109"/>
      <c r="X76" s="109"/>
      <c r="Y76" s="109"/>
      <c r="Z76" s="109"/>
      <c r="AA76" s="109"/>
      <c r="AB76" s="109"/>
      <c r="AC76" s="109"/>
      <c r="AD76" s="109"/>
      <c r="AE76" s="109"/>
      <c r="AF76" s="109"/>
      <c r="AG76" s="109"/>
      <c r="AH76" s="109"/>
      <c r="AI76" s="109"/>
      <c r="AJ76" s="109"/>
      <c r="AK76" s="109"/>
      <c r="AL76" s="109"/>
      <c r="AM76" s="109"/>
      <c r="AN76" s="109"/>
      <c r="AO76" s="109"/>
      <c r="AP76" s="109"/>
    </row>
    <row r="77" ht="19.5" customHeight="1"/>
    <row r="78" ht="19.5" customHeight="1"/>
    <row r="79" ht="19.5" customHeight="1">
      <c r="AQ79" s="79"/>
    </row>
    <row r="80" ht="19.5" customHeight="1">
      <c r="AQ80" s="79"/>
    </row>
    <row r="81" ht="19.5" customHeight="1">
      <c r="AQ81" s="79"/>
    </row>
    <row r="82" ht="19.5" customHeight="1">
      <c r="AQ82" s="79"/>
    </row>
    <row r="83" ht="19.5" customHeight="1">
      <c r="AQ83" s="79"/>
    </row>
    <row r="84" ht="19.5" customHeight="1">
      <c r="AQ84" s="79"/>
    </row>
    <row r="85" ht="19.5" customHeight="1">
      <c r="AQ85" s="79"/>
    </row>
    <row r="86" ht="19.5" customHeight="1">
      <c r="AQ86" s="79"/>
    </row>
    <row r="87" ht="19.5" customHeight="1">
      <c r="AQ87" s="79"/>
    </row>
    <row r="88" ht="19.5" customHeight="1">
      <c r="AQ88" s="79"/>
    </row>
    <row r="89" ht="19.5" customHeight="1">
      <c r="AQ89" s="79"/>
    </row>
    <row r="90" ht="19.5" customHeight="1">
      <c r="AQ90" s="79"/>
    </row>
    <row r="91" ht="18.75">
      <c r="AQ91" s="79"/>
    </row>
    <row r="92" ht="18.75">
      <c r="AQ92" s="79"/>
    </row>
    <row r="93" ht="18.75">
      <c r="AQ93" s="79"/>
    </row>
    <row r="94" ht="18.75">
      <c r="AQ94" s="79"/>
    </row>
    <row r="95" ht="18.75">
      <c r="AQ95" s="79"/>
    </row>
    <row r="96" ht="18.75">
      <c r="AQ96" s="79"/>
    </row>
    <row r="97" ht="18.75">
      <c r="AQ97" s="79"/>
    </row>
    <row r="98" ht="18.75">
      <c r="AQ98" s="79"/>
    </row>
    <row r="99" ht="18.75">
      <c r="AQ99" s="79"/>
    </row>
    <row r="100" ht="18.75">
      <c r="AQ100" s="79"/>
    </row>
    <row r="101" ht="18.75">
      <c r="AQ101" s="79"/>
    </row>
    <row r="102" ht="18.75">
      <c r="AQ102" s="79"/>
    </row>
    <row r="103" ht="18.75">
      <c r="AQ103" s="79"/>
    </row>
    <row r="104" ht="18.75">
      <c r="AQ104" s="79"/>
    </row>
    <row r="105" ht="18.75">
      <c r="AQ105" s="79"/>
    </row>
    <row r="106" ht="18.75">
      <c r="AQ106" s="79"/>
    </row>
    <row r="107" ht="18.75">
      <c r="AQ107" s="79"/>
    </row>
    <row r="108" ht="18.75">
      <c r="AQ108" s="79"/>
    </row>
    <row r="109" ht="18.75">
      <c r="AQ109" s="79"/>
    </row>
    <row r="110" ht="18.75">
      <c r="AQ110" s="79"/>
    </row>
    <row r="111" ht="18.75">
      <c r="AQ111" s="79"/>
    </row>
    <row r="112" ht="18.75">
      <c r="AQ112" s="79"/>
    </row>
    <row r="113" ht="18.75">
      <c r="AQ113" s="79"/>
    </row>
    <row r="114" ht="18.75">
      <c r="AQ114" s="79"/>
    </row>
    <row r="115" ht="18.75">
      <c r="AQ115" s="79"/>
    </row>
    <row r="116" ht="18.75">
      <c r="AQ116" s="79"/>
    </row>
    <row r="117" ht="18.75">
      <c r="AQ117" s="79"/>
    </row>
    <row r="118" ht="18.75">
      <c r="AQ118" s="79"/>
    </row>
    <row r="119" ht="18.75">
      <c r="AQ119" s="79"/>
    </row>
    <row r="120" ht="18.75">
      <c r="AQ120" s="79"/>
    </row>
    <row r="121" ht="18.75">
      <c r="AQ121" s="79"/>
    </row>
    <row r="122" ht="18.75">
      <c r="AQ122" s="79"/>
    </row>
    <row r="123" ht="18.75">
      <c r="AQ123" s="79"/>
    </row>
    <row r="124" ht="18.75">
      <c r="AQ124" s="79"/>
    </row>
    <row r="125" ht="18.75">
      <c r="AQ125" s="79"/>
    </row>
    <row r="126" ht="18.75">
      <c r="AQ126" s="79"/>
    </row>
    <row r="127" ht="18.75">
      <c r="AQ127" s="79"/>
    </row>
    <row r="128" ht="18.75">
      <c r="AQ128" s="79"/>
    </row>
    <row r="129" ht="18.75">
      <c r="AQ129" s="79"/>
    </row>
    <row r="130" ht="18.75">
      <c r="AQ130" s="79"/>
    </row>
    <row r="131" ht="18.75">
      <c r="AQ131" s="79"/>
    </row>
    <row r="132" ht="18.75">
      <c r="AQ132" s="79"/>
    </row>
    <row r="133" ht="18.75">
      <c r="AQ133" s="79"/>
    </row>
    <row r="134" ht="18.75">
      <c r="AQ134" s="79"/>
    </row>
    <row r="135" ht="18.75">
      <c r="AQ135" s="79"/>
    </row>
    <row r="136" ht="18.75">
      <c r="AQ136" s="79"/>
    </row>
    <row r="137" ht="18.75">
      <c r="AQ137" s="79"/>
    </row>
    <row r="138" ht="18.75">
      <c r="AQ138" s="79"/>
    </row>
    <row r="139" ht="18.75">
      <c r="AQ139" s="79"/>
    </row>
    <row r="140" ht="18.75">
      <c r="AQ140" s="79"/>
    </row>
    <row r="141" ht="18.75">
      <c r="AQ141" s="79"/>
    </row>
    <row r="142" ht="18.75">
      <c r="AQ142" s="79"/>
    </row>
    <row r="143" ht="18.75">
      <c r="AQ143" s="79"/>
    </row>
    <row r="144" ht="18.75">
      <c r="AQ144" s="79"/>
    </row>
    <row r="145" ht="18.75">
      <c r="AQ145" s="79"/>
    </row>
    <row r="146" ht="18.75">
      <c r="AQ146" s="79"/>
    </row>
    <row r="147" ht="18.75">
      <c r="AQ147" s="79"/>
    </row>
    <row r="148" ht="18.75">
      <c r="AQ148" s="79"/>
    </row>
    <row r="149" ht="18.75">
      <c r="AQ149" s="79"/>
    </row>
    <row r="150" ht="18.75">
      <c r="AQ150" s="79"/>
    </row>
    <row r="151" ht="18.75">
      <c r="AQ151" s="79"/>
    </row>
    <row r="152" ht="18.75">
      <c r="AQ152" s="79"/>
    </row>
    <row r="153" ht="18.75">
      <c r="AQ153" s="79"/>
    </row>
    <row r="154" ht="18.75">
      <c r="AQ154" s="79"/>
    </row>
    <row r="155" ht="18.75">
      <c r="AQ155" s="79"/>
    </row>
    <row r="156" ht="18.75">
      <c r="AQ156" s="79"/>
    </row>
    <row r="157" ht="18.75">
      <c r="AQ157" s="79"/>
    </row>
    <row r="158" ht="18.75">
      <c r="AQ158" s="79"/>
    </row>
    <row r="159" ht="18.75">
      <c r="AQ159" s="79"/>
    </row>
    <row r="160" ht="18.75">
      <c r="AQ160" s="79"/>
    </row>
    <row r="161" ht="18.75">
      <c r="AQ161" s="79"/>
    </row>
    <row r="162" ht="18.75">
      <c r="AQ162" s="79"/>
    </row>
    <row r="163" ht="18.75">
      <c r="AQ163" s="79"/>
    </row>
    <row r="164" ht="18.75">
      <c r="AQ164" s="79"/>
    </row>
    <row r="165" ht="18.75">
      <c r="AQ165" s="79"/>
    </row>
    <row r="166" ht="18.75">
      <c r="AQ166" s="79"/>
    </row>
    <row r="167" ht="18.75">
      <c r="AQ167" s="79"/>
    </row>
    <row r="168" ht="18.75">
      <c r="AQ168" s="79"/>
    </row>
    <row r="169" ht="18.75">
      <c r="AQ169" s="79"/>
    </row>
    <row r="170" ht="18.75">
      <c r="AQ170" s="79"/>
    </row>
    <row r="171" ht="18.75">
      <c r="AQ171" s="79"/>
    </row>
    <row r="172" ht="18.75">
      <c r="AQ172" s="79"/>
    </row>
    <row r="173" ht="18.75">
      <c r="AQ173" s="79"/>
    </row>
    <row r="174" ht="18.75">
      <c r="AQ174" s="79"/>
    </row>
    <row r="175" ht="18.75">
      <c r="AQ175" s="79"/>
    </row>
    <row r="176" ht="18.75">
      <c r="AQ176" s="79"/>
    </row>
    <row r="177" ht="18.75">
      <c r="AQ177" s="79"/>
    </row>
    <row r="178" ht="18.75">
      <c r="AQ178" s="79"/>
    </row>
    <row r="179" ht="18.75">
      <c r="AQ179" s="79"/>
    </row>
    <row r="180" ht="18.75">
      <c r="AQ180" s="79"/>
    </row>
    <row r="181" ht="18.75">
      <c r="AQ181" s="79"/>
    </row>
    <row r="182" ht="18.75">
      <c r="AQ182" s="79"/>
    </row>
    <row r="183" ht="18.75">
      <c r="AQ183" s="79"/>
    </row>
    <row r="184" ht="18.75">
      <c r="AQ184" s="79"/>
    </row>
    <row r="185" ht="18.75">
      <c r="AQ185" s="79"/>
    </row>
    <row r="186" ht="18.75">
      <c r="AQ186" s="79"/>
    </row>
    <row r="187" ht="18.75">
      <c r="AQ187" s="79"/>
    </row>
    <row r="188" ht="18.75">
      <c r="AQ188" s="79"/>
    </row>
    <row r="189" ht="18.75">
      <c r="AQ189" s="79"/>
    </row>
    <row r="190" ht="18.75">
      <c r="AQ190" s="79"/>
    </row>
    <row r="191" ht="18.75">
      <c r="AQ191" s="79"/>
    </row>
    <row r="192" ht="18.75">
      <c r="AQ192" s="79"/>
    </row>
    <row r="193" ht="18.75">
      <c r="AQ193" s="79"/>
    </row>
    <row r="194" ht="18.75">
      <c r="AQ194" s="79"/>
    </row>
    <row r="195" ht="18.75">
      <c r="AQ195" s="79"/>
    </row>
    <row r="196" ht="18.75">
      <c r="AQ196" s="79"/>
    </row>
    <row r="197" ht="18.75">
      <c r="AQ197" s="79"/>
    </row>
    <row r="198" ht="18.75">
      <c r="AQ198" s="79"/>
    </row>
    <row r="199" ht="18.75">
      <c r="AQ199" s="79"/>
    </row>
    <row r="200" ht="18.75">
      <c r="AQ200" s="79"/>
    </row>
    <row r="201" ht="18.75">
      <c r="AQ201" s="79"/>
    </row>
    <row r="202" ht="18.75">
      <c r="AQ202" s="79"/>
    </row>
    <row r="203" ht="18.75">
      <c r="AQ203" s="79"/>
    </row>
    <row r="204" ht="18.75">
      <c r="AQ204" s="79"/>
    </row>
    <row r="205" ht="18.75">
      <c r="AQ205" s="79"/>
    </row>
    <row r="206" ht="18.75">
      <c r="AQ206" s="79"/>
    </row>
    <row r="207" ht="18.75">
      <c r="AQ207" s="79"/>
    </row>
    <row r="208" ht="18.75">
      <c r="AQ208" s="79"/>
    </row>
    <row r="209" ht="18.75">
      <c r="AQ209" s="79"/>
    </row>
    <row r="210" ht="18.75">
      <c r="AQ210" s="79"/>
    </row>
    <row r="211" ht="18.75">
      <c r="AQ211" s="79"/>
    </row>
    <row r="212" ht="18.75">
      <c r="AQ212" s="79"/>
    </row>
    <row r="213" ht="18.75">
      <c r="AQ213" s="79"/>
    </row>
    <row r="214" ht="18.75">
      <c r="AQ214" s="79"/>
    </row>
    <row r="215" ht="18.75">
      <c r="AQ215" s="79"/>
    </row>
    <row r="216" ht="18.75">
      <c r="AQ216" s="79"/>
    </row>
    <row r="217" ht="18.75">
      <c r="AQ217" s="79"/>
    </row>
    <row r="218" ht="18.75">
      <c r="AQ218" s="79"/>
    </row>
    <row r="219" ht="18.75">
      <c r="AQ219" s="79"/>
    </row>
    <row r="220" ht="18.75">
      <c r="AQ220" s="79"/>
    </row>
    <row r="221" ht="18.75">
      <c r="AQ221" s="79"/>
    </row>
    <row r="222" ht="18.75">
      <c r="AQ222" s="79"/>
    </row>
    <row r="223" ht="18.75">
      <c r="AQ223" s="79"/>
    </row>
    <row r="224" ht="18.75">
      <c r="AQ224" s="79"/>
    </row>
    <row r="225" ht="18.75">
      <c r="AQ225" s="79"/>
    </row>
    <row r="226" ht="18.75">
      <c r="AQ226" s="79"/>
    </row>
    <row r="227" ht="18.75">
      <c r="AQ227" s="79"/>
    </row>
    <row r="228" ht="18.75">
      <c r="AQ228" s="79"/>
    </row>
    <row r="229" ht="18.75">
      <c r="AQ229" s="79"/>
    </row>
    <row r="230" ht="18.75">
      <c r="AQ230" s="79"/>
    </row>
    <row r="231" ht="18.75">
      <c r="AQ231" s="79"/>
    </row>
    <row r="232" ht="18.75">
      <c r="AQ232" s="79"/>
    </row>
    <row r="233" ht="18.75">
      <c r="AQ233" s="79"/>
    </row>
    <row r="234" ht="18.75">
      <c r="AQ234" s="79"/>
    </row>
    <row r="235" ht="18.75">
      <c r="AQ235" s="79"/>
    </row>
    <row r="236" ht="18.75">
      <c r="AQ236" s="79"/>
    </row>
    <row r="237" ht="18.75">
      <c r="AQ237" s="79"/>
    </row>
    <row r="238" ht="18.75">
      <c r="AQ238" s="79"/>
    </row>
    <row r="239" ht="18.75">
      <c r="AQ239" s="79"/>
    </row>
    <row r="240" ht="18.75">
      <c r="AQ240" s="79"/>
    </row>
    <row r="241" ht="18.75">
      <c r="AQ241" s="79"/>
    </row>
    <row r="242" ht="18.75">
      <c r="AQ242" s="79"/>
    </row>
    <row r="243" ht="18.75">
      <c r="AQ243" s="79"/>
    </row>
    <row r="244" ht="18.75">
      <c r="AQ244" s="79"/>
    </row>
    <row r="245" ht="18.75">
      <c r="AQ245" s="79"/>
    </row>
    <row r="246" ht="18.75">
      <c r="AQ246" s="79"/>
    </row>
    <row r="247" ht="18.75">
      <c r="AQ247" s="79"/>
    </row>
    <row r="248" ht="18.75">
      <c r="AQ248" s="79"/>
    </row>
    <row r="249" ht="18.75">
      <c r="AQ249" s="79"/>
    </row>
    <row r="250" ht="18.75">
      <c r="AQ250" s="79"/>
    </row>
    <row r="251" ht="18.75">
      <c r="AQ251" s="79"/>
    </row>
    <row r="252" ht="18.75">
      <c r="AQ252" s="79"/>
    </row>
    <row r="253" ht="18.75">
      <c r="AQ253" s="79"/>
    </row>
    <row r="254" ht="18.75">
      <c r="AQ254" s="79"/>
    </row>
    <row r="255" ht="18.75">
      <c r="AQ255" s="79"/>
    </row>
    <row r="256" ht="18.75">
      <c r="AQ256" s="79"/>
    </row>
    <row r="257" ht="18.75">
      <c r="AQ257" s="79"/>
    </row>
    <row r="258" ht="18.75">
      <c r="AQ258" s="79"/>
    </row>
    <row r="259" ht="18.75">
      <c r="AQ259" s="79"/>
    </row>
    <row r="260" ht="18.75">
      <c r="AQ260" s="79"/>
    </row>
    <row r="261" ht="18.75">
      <c r="AQ261" s="79"/>
    </row>
    <row r="262" ht="18.75">
      <c r="AQ262" s="79"/>
    </row>
    <row r="263" ht="18.75">
      <c r="AQ263" s="79"/>
    </row>
    <row r="264" ht="18.75">
      <c r="AQ264" s="79"/>
    </row>
    <row r="265" ht="18.75">
      <c r="AQ265" s="79"/>
    </row>
    <row r="266" ht="18.75">
      <c r="AQ266" s="79"/>
    </row>
    <row r="267" ht="18.75">
      <c r="AQ267" s="79"/>
    </row>
    <row r="268" ht="18.75">
      <c r="AQ268" s="79"/>
    </row>
    <row r="269" ht="18.75">
      <c r="AQ269" s="79"/>
    </row>
    <row r="270" ht="18.75">
      <c r="AQ270" s="79"/>
    </row>
    <row r="271" ht="18.75">
      <c r="AQ271" s="79"/>
    </row>
    <row r="272" ht="18.75">
      <c r="AQ272" s="79"/>
    </row>
    <row r="273" ht="18.75">
      <c r="AQ273" s="79"/>
    </row>
    <row r="274" ht="18.75">
      <c r="AQ274" s="79"/>
    </row>
    <row r="275" ht="18.75">
      <c r="AQ275" s="79"/>
    </row>
    <row r="276" ht="18.75">
      <c r="AQ276" s="79"/>
    </row>
    <row r="277" ht="18.75">
      <c r="AQ277" s="79"/>
    </row>
    <row r="278" ht="18.75">
      <c r="AQ278" s="79"/>
    </row>
    <row r="279" ht="18.75">
      <c r="AQ279" s="79"/>
    </row>
    <row r="280" ht="18.75">
      <c r="AQ280" s="79"/>
    </row>
    <row r="281" ht="18.75">
      <c r="AQ281" s="79"/>
    </row>
    <row r="282" ht="18.75">
      <c r="AQ282" s="79"/>
    </row>
    <row r="283" ht="18.75">
      <c r="AQ283" s="79"/>
    </row>
    <row r="284" ht="18.75">
      <c r="AQ284" s="79"/>
    </row>
    <row r="285" ht="18.75">
      <c r="AQ285" s="79"/>
    </row>
    <row r="286" ht="18.75">
      <c r="AQ286" s="79"/>
    </row>
    <row r="287" ht="18.75">
      <c r="AQ287" s="79"/>
    </row>
    <row r="288" ht="18.75">
      <c r="AQ288" s="79"/>
    </row>
    <row r="289" ht="18.75">
      <c r="AQ289" s="79"/>
    </row>
    <row r="290" ht="18.75">
      <c r="AQ290" s="79"/>
    </row>
    <row r="291" ht="18.75">
      <c r="AQ291" s="79"/>
    </row>
    <row r="292" ht="18.75">
      <c r="AQ292" s="79"/>
    </row>
    <row r="293" ht="18.75">
      <c r="AQ293" s="79"/>
    </row>
    <row r="294" ht="18.75">
      <c r="AQ294" s="79"/>
    </row>
    <row r="295" ht="18.75">
      <c r="AQ295" s="79"/>
    </row>
    <row r="296" ht="18.75">
      <c r="AQ296" s="79"/>
    </row>
    <row r="297" ht="18.75">
      <c r="AQ297" s="79"/>
    </row>
    <row r="298" ht="18.75">
      <c r="AQ298" s="79"/>
    </row>
    <row r="299" ht="18.75">
      <c r="AQ299" s="79"/>
    </row>
    <row r="300" ht="18.75">
      <c r="AQ300" s="79"/>
    </row>
    <row r="301" ht="18.75">
      <c r="AQ301" s="79"/>
    </row>
    <row r="302" ht="18.75">
      <c r="AQ302" s="79"/>
    </row>
    <row r="303" ht="18.75">
      <c r="AQ303" s="79"/>
    </row>
    <row r="304" ht="18.75">
      <c r="AQ304" s="79"/>
    </row>
    <row r="305" ht="18.75">
      <c r="AQ305" s="79"/>
    </row>
    <row r="306" ht="18.75">
      <c r="AQ306" s="79"/>
    </row>
    <row r="307" ht="18.75">
      <c r="AQ307" s="79"/>
    </row>
    <row r="308" ht="18.75">
      <c r="AQ308" s="79"/>
    </row>
    <row r="309" ht="18.75">
      <c r="AQ309" s="79"/>
    </row>
    <row r="310" ht="18.75">
      <c r="AQ310" s="79"/>
    </row>
    <row r="311" ht="18.75">
      <c r="AQ311" s="79"/>
    </row>
    <row r="312" ht="18.75">
      <c r="AQ312" s="79"/>
    </row>
    <row r="313" ht="18.75">
      <c r="AQ313" s="79"/>
    </row>
    <row r="314" ht="18.75">
      <c r="AQ314" s="79"/>
    </row>
    <row r="315" ht="18.75">
      <c r="AQ315" s="79"/>
    </row>
    <row r="316" ht="18.75">
      <c r="AQ316" s="79"/>
    </row>
    <row r="317" ht="18.75">
      <c r="AQ317" s="79"/>
    </row>
    <row r="318" ht="18.75">
      <c r="AQ318" s="79"/>
    </row>
    <row r="319" ht="18.75">
      <c r="AQ319" s="79"/>
    </row>
    <row r="320" ht="18.75">
      <c r="AQ320" s="79"/>
    </row>
    <row r="321" ht="18.75">
      <c r="AQ321" s="79"/>
    </row>
    <row r="322" ht="18.75">
      <c r="AQ322" s="79"/>
    </row>
    <row r="323" ht="18.75">
      <c r="AQ323" s="79"/>
    </row>
    <row r="324" ht="18.75">
      <c r="AQ324" s="79"/>
    </row>
    <row r="325" ht="18.75">
      <c r="AQ325" s="79"/>
    </row>
    <row r="326" ht="18.75">
      <c r="AQ326" s="79"/>
    </row>
    <row r="327" ht="18.75">
      <c r="AQ327" s="79"/>
    </row>
    <row r="328" ht="18.75">
      <c r="AQ328" s="79"/>
    </row>
    <row r="329" ht="18.75">
      <c r="AQ329" s="79"/>
    </row>
    <row r="330" ht="18.75">
      <c r="AQ330" s="79"/>
    </row>
    <row r="331" ht="18.75">
      <c r="AQ331" s="79"/>
    </row>
    <row r="332" ht="18.75">
      <c r="AQ332" s="79"/>
    </row>
    <row r="333" ht="18.75">
      <c r="AQ333" s="79"/>
    </row>
    <row r="334" ht="18.75">
      <c r="AQ334" s="79"/>
    </row>
    <row r="335" ht="18.75">
      <c r="AQ335" s="79"/>
    </row>
    <row r="336" ht="18.75">
      <c r="AQ336" s="79"/>
    </row>
    <row r="337" ht="18.75">
      <c r="AQ337" s="79"/>
    </row>
    <row r="338" ht="18.75">
      <c r="AQ338" s="79"/>
    </row>
    <row r="339" ht="18.75">
      <c r="AQ339" s="79"/>
    </row>
    <row r="340" ht="18.75">
      <c r="AQ340" s="79"/>
    </row>
    <row r="341" ht="18.75">
      <c r="AQ341" s="79"/>
    </row>
    <row r="342" ht="18.75">
      <c r="AQ342" s="79"/>
    </row>
    <row r="343" ht="18.75">
      <c r="AQ343" s="79"/>
    </row>
    <row r="344" ht="18.75">
      <c r="AQ344" s="79"/>
    </row>
    <row r="345" ht="18.75">
      <c r="AQ345" s="79"/>
    </row>
    <row r="346" ht="18.75">
      <c r="AQ346" s="79"/>
    </row>
    <row r="347" ht="18.75">
      <c r="AQ347" s="79"/>
    </row>
    <row r="348" ht="18.75">
      <c r="AQ348" s="79"/>
    </row>
    <row r="349" ht="18.75">
      <c r="AQ349" s="79"/>
    </row>
    <row r="350" ht="18.75">
      <c r="AQ350" s="79"/>
    </row>
    <row r="351" ht="18.75">
      <c r="AQ351" s="79"/>
    </row>
    <row r="352" ht="18.75">
      <c r="AQ352" s="79"/>
    </row>
    <row r="353" ht="18.75">
      <c r="AQ353" s="79"/>
    </row>
    <row r="354" ht="18.75">
      <c r="AQ354" s="79"/>
    </row>
    <row r="355" ht="18.75">
      <c r="AQ355" s="79"/>
    </row>
    <row r="356" ht="18.75">
      <c r="AQ356" s="79"/>
    </row>
    <row r="357" ht="18.75">
      <c r="AQ357" s="79"/>
    </row>
    <row r="358" ht="18.75">
      <c r="AQ358" s="79"/>
    </row>
    <row r="359" ht="18.75">
      <c r="AQ359" s="79"/>
    </row>
    <row r="360" ht="18.75">
      <c r="AQ360" s="79"/>
    </row>
    <row r="361" ht="18.75">
      <c r="AQ361" s="79"/>
    </row>
    <row r="362" ht="18.75">
      <c r="AQ362" s="79"/>
    </row>
    <row r="363" ht="18.75">
      <c r="AQ363" s="79"/>
    </row>
    <row r="364" ht="18.75">
      <c r="AQ364" s="79"/>
    </row>
    <row r="365" ht="18.75">
      <c r="AQ365" s="79"/>
    </row>
    <row r="366" ht="18.75">
      <c r="AQ366" s="79"/>
    </row>
    <row r="367" ht="18.75">
      <c r="AQ367" s="79"/>
    </row>
    <row r="368" ht="18.75">
      <c r="AQ368" s="79"/>
    </row>
    <row r="369" ht="18.75">
      <c r="AQ369" s="79"/>
    </row>
    <row r="370" ht="18.75">
      <c r="AQ370" s="79"/>
    </row>
    <row r="371" ht="18.75">
      <c r="AQ371" s="79"/>
    </row>
    <row r="372" ht="18.75">
      <c r="AQ372" s="79"/>
    </row>
    <row r="373" ht="18.75">
      <c r="AQ373" s="79"/>
    </row>
    <row r="374" ht="18.75">
      <c r="AQ374" s="79"/>
    </row>
    <row r="375" ht="18.75">
      <c r="AQ375" s="79"/>
    </row>
    <row r="376" ht="18.75">
      <c r="AQ376" s="79"/>
    </row>
    <row r="377" ht="18.75">
      <c r="AQ377" s="79"/>
    </row>
    <row r="378" ht="18.75">
      <c r="AQ378" s="79"/>
    </row>
    <row r="379" ht="18.75">
      <c r="AQ379" s="79"/>
    </row>
    <row r="380" ht="18.75">
      <c r="AQ380" s="79"/>
    </row>
    <row r="381" ht="18.75">
      <c r="AQ381" s="79"/>
    </row>
    <row r="382" ht="18.75">
      <c r="AQ382" s="79"/>
    </row>
    <row r="383" ht="18.75">
      <c r="AQ383" s="79"/>
    </row>
    <row r="384" ht="18.75">
      <c r="AQ384" s="79"/>
    </row>
    <row r="385" ht="18.75">
      <c r="AQ385" s="79"/>
    </row>
    <row r="386" ht="18.75">
      <c r="AQ386" s="79"/>
    </row>
    <row r="387" ht="18.75">
      <c r="AQ387" s="79"/>
    </row>
    <row r="388" ht="18.75">
      <c r="AQ388" s="79"/>
    </row>
    <row r="389" ht="18.75">
      <c r="AQ389" s="79"/>
    </row>
    <row r="390" ht="18.75">
      <c r="AQ390" s="79"/>
    </row>
    <row r="391" ht="18.75">
      <c r="AQ391" s="79"/>
    </row>
    <row r="392" ht="18.75">
      <c r="AQ392" s="79"/>
    </row>
    <row r="393" ht="18.75">
      <c r="AQ393" s="79"/>
    </row>
    <row r="394" ht="18.75">
      <c r="AQ394" s="79"/>
    </row>
    <row r="395" ht="18.75">
      <c r="AQ395" s="79"/>
    </row>
    <row r="396" ht="18.75">
      <c r="AQ396" s="79"/>
    </row>
    <row r="397" ht="18.75">
      <c r="AQ397" s="79"/>
    </row>
    <row r="398" ht="18.75">
      <c r="AQ398" s="79"/>
    </row>
    <row r="399" ht="18.75">
      <c r="AQ399" s="79"/>
    </row>
    <row r="400" ht="18.75">
      <c r="AQ400" s="79"/>
    </row>
    <row r="401" ht="18.75">
      <c r="AQ401" s="79"/>
    </row>
    <row r="402" ht="18.75">
      <c r="AQ402" s="79"/>
    </row>
    <row r="403" ht="18.75">
      <c r="AQ403" s="79"/>
    </row>
    <row r="404" ht="18.75">
      <c r="AQ404" s="79"/>
    </row>
    <row r="405" ht="18.75">
      <c r="AQ405" s="79"/>
    </row>
    <row r="406" ht="18.75">
      <c r="AQ406" s="79"/>
    </row>
    <row r="407" ht="18.75">
      <c r="AQ407" s="79"/>
    </row>
    <row r="408" ht="18.75">
      <c r="AQ408" s="79"/>
    </row>
    <row r="409" ht="18.75">
      <c r="AQ409" s="79"/>
    </row>
    <row r="410" ht="18.75">
      <c r="AQ410" s="79"/>
    </row>
    <row r="411" ht="18.75">
      <c r="AQ411" s="79"/>
    </row>
    <row r="412" ht="18.75">
      <c r="AQ412" s="79"/>
    </row>
  </sheetData>
  <sheetProtection/>
  <mergeCells count="98">
    <mergeCell ref="A2:AQ2"/>
    <mergeCell ref="A3:AQ3"/>
    <mergeCell ref="F4:J4"/>
    <mergeCell ref="K4:N4"/>
    <mergeCell ref="O4:R4"/>
    <mergeCell ref="S4:V4"/>
    <mergeCell ref="W4:Z4"/>
    <mergeCell ref="AA4:AD4"/>
    <mergeCell ref="H6:J6"/>
    <mergeCell ref="AM4:AP4"/>
    <mergeCell ref="B40:V40"/>
    <mergeCell ref="AF5:AH5"/>
    <mergeCell ref="AE4:AH4"/>
    <mergeCell ref="AI4:AL4"/>
    <mergeCell ref="U6:U7"/>
    <mergeCell ref="K5:K7"/>
    <mergeCell ref="L6:L7"/>
    <mergeCell ref="B41:AQ41"/>
    <mergeCell ref="B42:AQ42"/>
    <mergeCell ref="AJ6:AJ7"/>
    <mergeCell ref="V6:V7"/>
    <mergeCell ref="W5:W7"/>
    <mergeCell ref="T6:T7"/>
    <mergeCell ref="P6:P7"/>
    <mergeCell ref="AE5:AE7"/>
    <mergeCell ref="AQ4:AQ7"/>
    <mergeCell ref="AB5:AD5"/>
    <mergeCell ref="B43:AQ43"/>
    <mergeCell ref="G5:J5"/>
    <mergeCell ref="L5:N5"/>
    <mergeCell ref="P5:R5"/>
    <mergeCell ref="T5:V5"/>
    <mergeCell ref="X5:Z5"/>
    <mergeCell ref="F5:F7"/>
    <mergeCell ref="X6:X7"/>
    <mergeCell ref="Y6:Y7"/>
    <mergeCell ref="AD6:AD7"/>
    <mergeCell ref="M6:M7"/>
    <mergeCell ref="N6:N7"/>
    <mergeCell ref="O5:O7"/>
    <mergeCell ref="AN5:AP5"/>
    <mergeCell ref="AN6:AN7"/>
    <mergeCell ref="AJ5:AL5"/>
    <mergeCell ref="Q6:Q7"/>
    <mergeCell ref="Z6:Z7"/>
    <mergeCell ref="B49:AQ49"/>
    <mergeCell ref="B58:AQ58"/>
    <mergeCell ref="R6:R7"/>
    <mergeCell ref="S5:S7"/>
    <mergeCell ref="AG6:AG7"/>
    <mergeCell ref="B50:AQ50"/>
    <mergeCell ref="B51:AQ51"/>
    <mergeCell ref="B52:AQ52"/>
    <mergeCell ref="AH6:AH7"/>
    <mergeCell ref="AC6:AC7"/>
    <mergeCell ref="B60:AQ60"/>
    <mergeCell ref="B61:AQ61"/>
    <mergeCell ref="B54:AQ54"/>
    <mergeCell ref="B55:AQ55"/>
    <mergeCell ref="B56:AQ56"/>
    <mergeCell ref="B57:AQ57"/>
    <mergeCell ref="B59:AQ59"/>
    <mergeCell ref="B47:AQ47"/>
    <mergeCell ref="B48:AQ48"/>
    <mergeCell ref="A4:A7"/>
    <mergeCell ref="B4:B7"/>
    <mergeCell ref="C4:C7"/>
    <mergeCell ref="D4:D7"/>
    <mergeCell ref="E4:E7"/>
    <mergeCell ref="AP6:AP7"/>
    <mergeCell ref="B44:AQ44"/>
    <mergeCell ref="B45:AQ45"/>
    <mergeCell ref="B73:AQ73"/>
    <mergeCell ref="B66:AQ66"/>
    <mergeCell ref="B67:AQ67"/>
    <mergeCell ref="B68:AQ68"/>
    <mergeCell ref="B69:AQ69"/>
    <mergeCell ref="B74:AQ74"/>
    <mergeCell ref="B75:AQ75"/>
    <mergeCell ref="B76:V76"/>
    <mergeCell ref="G6:G7"/>
    <mergeCell ref="B70:AQ70"/>
    <mergeCell ref="B71:AQ71"/>
    <mergeCell ref="B72:AQ72"/>
    <mergeCell ref="AK6:AK7"/>
    <mergeCell ref="AL6:AL7"/>
    <mergeCell ref="AM5:AM7"/>
    <mergeCell ref="AO6:AO7"/>
    <mergeCell ref="B62:AQ62"/>
    <mergeCell ref="B63:AQ63"/>
    <mergeCell ref="B64:AQ64"/>
    <mergeCell ref="B65:AQ65"/>
    <mergeCell ref="AF6:AF7"/>
    <mergeCell ref="AI5:AI7"/>
    <mergeCell ref="AA5:AA7"/>
    <mergeCell ref="AB6:AB7"/>
    <mergeCell ref="B53:AQ53"/>
    <mergeCell ref="B46:AQ46"/>
  </mergeCells>
  <printOptions horizontalCentered="1"/>
  <pageMargins left="0.235416666666667" right="0.235416666666667" top="0.747916666666667" bottom="0.747916666666667" header="0.313888888888889" footer="0.313888888888889"/>
  <pageSetup fitToHeight="0" fitToWidth="1" horizontalDpi="600" verticalDpi="600" orientation="landscape" paperSize="9" scale="45" r:id="rId1"/>
  <headerFooter alignWithMargins="0">
    <oddFooter>&amp;C&amp;P</oddFooter>
  </headerFooter>
</worksheet>
</file>

<file path=xl/worksheets/sheet17.xml><?xml version="1.0" encoding="utf-8"?>
<worksheet xmlns="http://schemas.openxmlformats.org/spreadsheetml/2006/main" xmlns:r="http://schemas.openxmlformats.org/officeDocument/2006/relationships">
  <sheetPr>
    <tabColor rgb="FF0070C0"/>
    <pageSetUpPr fitToPage="1"/>
  </sheetPr>
  <dimension ref="A1:AP398"/>
  <sheetViews>
    <sheetView zoomScale="85" zoomScaleNormal="85" zoomScalePageLayoutView="0" workbookViewId="0" topLeftCell="A1">
      <pane xSplit="2" ySplit="8" topLeftCell="C53" activePane="bottomRight" state="frozen"/>
      <selection pane="topLeft" activeCell="A1" sqref="A1"/>
      <selection pane="topRight" activeCell="A1" sqref="A1"/>
      <selection pane="bottomLeft" activeCell="A1" sqref="A1"/>
      <selection pane="bottomRight" activeCell="C21" sqref="C21"/>
    </sheetView>
  </sheetViews>
  <sheetFormatPr defaultColWidth="9.00390625" defaultRowHeight="15.75"/>
  <cols>
    <col min="1" max="1" width="4.50390625" style="30" customWidth="1"/>
    <col min="2" max="2" width="18.625" style="31" customWidth="1"/>
    <col min="3" max="3" width="5.25390625" style="32" customWidth="1"/>
    <col min="4" max="4" width="5.375" style="32" customWidth="1"/>
    <col min="5" max="5" width="5.25390625" style="32" customWidth="1"/>
    <col min="6" max="6" width="5.875" style="32" customWidth="1"/>
    <col min="7" max="17" width="5.875" style="33" customWidth="1"/>
    <col min="18" max="18" width="6.00390625" style="33" customWidth="1"/>
    <col min="19" max="20" width="5.875" style="33" customWidth="1"/>
    <col min="21" max="21" width="7.125" style="33" customWidth="1"/>
    <col min="22" max="27" width="5.875" style="33" customWidth="1"/>
    <col min="28" max="28" width="6.50390625" style="33" customWidth="1"/>
    <col min="29" max="29" width="5.875" style="33" customWidth="1"/>
    <col min="30" max="30" width="7.50390625" style="33" customWidth="1"/>
    <col min="31" max="16384" width="9.00390625" style="34" customWidth="1"/>
  </cols>
  <sheetData>
    <row r="1" spans="1:42" ht="20.25">
      <c r="A1" s="35" t="s">
        <v>350</v>
      </c>
      <c r="B1" s="36"/>
      <c r="C1" s="36"/>
      <c r="D1" s="36"/>
      <c r="E1" s="36"/>
      <c r="F1" s="36"/>
      <c r="G1" s="36"/>
      <c r="H1" s="36"/>
      <c r="I1" s="36"/>
      <c r="J1" s="36"/>
      <c r="K1" s="36"/>
      <c r="L1" s="36"/>
      <c r="M1" s="36"/>
      <c r="N1" s="36"/>
      <c r="O1" s="36"/>
      <c r="P1" s="36"/>
      <c r="Q1" s="36"/>
      <c r="R1" s="36"/>
      <c r="S1" s="36"/>
      <c r="T1" s="36"/>
      <c r="U1" s="36"/>
      <c r="V1" s="36"/>
      <c r="W1" s="36"/>
      <c r="X1" s="36"/>
      <c r="Y1" s="36"/>
      <c r="Z1" s="36"/>
      <c r="AA1" s="36"/>
      <c r="AB1" s="36"/>
      <c r="AC1" s="36"/>
      <c r="AD1" s="63" t="s">
        <v>223</v>
      </c>
      <c r="AE1" s="64"/>
      <c r="AF1" s="65"/>
      <c r="AG1" s="65"/>
      <c r="AH1" s="65"/>
      <c r="AI1" s="65"/>
      <c r="AJ1" s="65"/>
      <c r="AK1" s="65"/>
      <c r="AL1" s="65"/>
      <c r="AM1" s="65"/>
      <c r="AN1" s="65"/>
      <c r="AO1" s="65"/>
      <c r="AP1" s="65"/>
    </row>
    <row r="2" spans="1:30" s="25" customFormat="1" ht="15.75">
      <c r="A2" s="1440" t="s">
        <v>351</v>
      </c>
      <c r="B2" s="1440"/>
      <c r="C2" s="1440"/>
      <c r="D2" s="1440"/>
      <c r="E2" s="1440"/>
      <c r="F2" s="1440"/>
      <c r="G2" s="1440"/>
      <c r="H2" s="1440"/>
      <c r="I2" s="1440"/>
      <c r="J2" s="1440"/>
      <c r="K2" s="1440"/>
      <c r="L2" s="1440"/>
      <c r="M2" s="1440"/>
      <c r="N2" s="1440"/>
      <c r="O2" s="1440"/>
      <c r="P2" s="1440"/>
      <c r="Q2" s="1440"/>
      <c r="R2" s="1440"/>
      <c r="S2" s="1440"/>
      <c r="T2" s="1440"/>
      <c r="U2" s="1440"/>
      <c r="V2" s="1440"/>
      <c r="W2" s="1440"/>
      <c r="X2" s="1440"/>
      <c r="Y2" s="1440"/>
      <c r="Z2" s="1440"/>
      <c r="AA2" s="1440"/>
      <c r="AB2" s="1440"/>
      <c r="AC2" s="1440"/>
      <c r="AD2" s="1440"/>
    </row>
    <row r="3" spans="1:30" s="26" customFormat="1" ht="15.75">
      <c r="A3" s="37"/>
      <c r="B3" s="37"/>
      <c r="C3" s="37"/>
      <c r="D3" s="37"/>
      <c r="E3" s="37"/>
      <c r="F3" s="37"/>
      <c r="G3" s="37"/>
      <c r="H3" s="37"/>
      <c r="I3" s="37"/>
      <c r="J3" s="37"/>
      <c r="K3" s="37"/>
      <c r="L3" s="37"/>
      <c r="M3" s="37"/>
      <c r="N3" s="37"/>
      <c r="O3" s="37"/>
      <c r="P3" s="37"/>
      <c r="Q3" s="37"/>
      <c r="R3" s="37"/>
      <c r="S3" s="37"/>
      <c r="T3" s="37"/>
      <c r="U3" s="37"/>
      <c r="V3" s="37"/>
      <c r="W3" s="37"/>
      <c r="X3" s="37"/>
      <c r="Y3" s="37"/>
      <c r="Z3" s="37"/>
      <c r="AA3" s="1441" t="s">
        <v>282</v>
      </c>
      <c r="AB3" s="1441"/>
      <c r="AC3" s="1441"/>
      <c r="AD3" s="1441"/>
    </row>
    <row r="4" spans="1:30" s="26" customFormat="1" ht="35.25" customHeight="1">
      <c r="A4" s="1438" t="s">
        <v>2</v>
      </c>
      <c r="B4" s="1438" t="s">
        <v>352</v>
      </c>
      <c r="C4" s="1438" t="s">
        <v>284</v>
      </c>
      <c r="D4" s="1438" t="s">
        <v>285</v>
      </c>
      <c r="E4" s="1438" t="s">
        <v>286</v>
      </c>
      <c r="F4" s="1426" t="s">
        <v>287</v>
      </c>
      <c r="G4" s="1426"/>
      <c r="H4" s="1426"/>
      <c r="I4" s="1426" t="s">
        <v>353</v>
      </c>
      <c r="J4" s="1426"/>
      <c r="K4" s="1426"/>
      <c r="L4" s="1426" t="s">
        <v>354</v>
      </c>
      <c r="M4" s="1426"/>
      <c r="N4" s="1438" t="s">
        <v>355</v>
      </c>
      <c r="O4" s="1438"/>
      <c r="P4" s="1438" t="s">
        <v>356</v>
      </c>
      <c r="Q4" s="1438"/>
      <c r="R4" s="1438" t="s">
        <v>357</v>
      </c>
      <c r="S4" s="1438"/>
      <c r="T4" s="1438" t="s">
        <v>358</v>
      </c>
      <c r="U4" s="1438"/>
      <c r="V4" s="1438"/>
      <c r="W4" s="1438"/>
      <c r="X4" s="1438" t="s">
        <v>359</v>
      </c>
      <c r="Y4" s="1438"/>
      <c r="Z4" s="1438"/>
      <c r="AA4" s="1438"/>
      <c r="AB4" s="1438" t="s">
        <v>360</v>
      </c>
      <c r="AC4" s="1438"/>
      <c r="AD4" s="1438" t="s">
        <v>296</v>
      </c>
    </row>
    <row r="5" spans="1:30" s="27" customFormat="1" ht="67.5" customHeight="1">
      <c r="A5" s="1438"/>
      <c r="B5" s="1438"/>
      <c r="C5" s="1438"/>
      <c r="D5" s="1438"/>
      <c r="E5" s="1438"/>
      <c r="F5" s="1426"/>
      <c r="G5" s="1426"/>
      <c r="H5" s="1426"/>
      <c r="I5" s="1426"/>
      <c r="J5" s="1426"/>
      <c r="K5" s="1426"/>
      <c r="L5" s="1426"/>
      <c r="M5" s="1426"/>
      <c r="N5" s="1438"/>
      <c r="O5" s="1438"/>
      <c r="P5" s="1438"/>
      <c r="Q5" s="1438"/>
      <c r="R5" s="1438"/>
      <c r="S5" s="1438"/>
      <c r="T5" s="1438" t="s">
        <v>361</v>
      </c>
      <c r="U5" s="1438"/>
      <c r="V5" s="1438" t="s">
        <v>362</v>
      </c>
      <c r="W5" s="1438"/>
      <c r="X5" s="1438" t="s">
        <v>363</v>
      </c>
      <c r="Y5" s="1438"/>
      <c r="Z5" s="1438" t="s">
        <v>364</v>
      </c>
      <c r="AA5" s="1438"/>
      <c r="AB5" s="1438"/>
      <c r="AC5" s="1438"/>
      <c r="AD5" s="1438"/>
    </row>
    <row r="6" spans="1:30" s="27" customFormat="1" ht="30" customHeight="1">
      <c r="A6" s="1438"/>
      <c r="B6" s="1438"/>
      <c r="C6" s="1438"/>
      <c r="D6" s="1438"/>
      <c r="E6" s="1438"/>
      <c r="F6" s="1426" t="s">
        <v>297</v>
      </c>
      <c r="G6" s="1426" t="s">
        <v>298</v>
      </c>
      <c r="H6" s="1426" t="s">
        <v>365</v>
      </c>
      <c r="I6" s="1426" t="s">
        <v>297</v>
      </c>
      <c r="J6" s="1426" t="s">
        <v>298</v>
      </c>
      <c r="K6" s="1426" t="s">
        <v>365</v>
      </c>
      <c r="L6" s="1426" t="s">
        <v>299</v>
      </c>
      <c r="M6" s="1426" t="s">
        <v>366</v>
      </c>
      <c r="N6" s="1426" t="s">
        <v>299</v>
      </c>
      <c r="O6" s="1426" t="s">
        <v>366</v>
      </c>
      <c r="P6" s="1426" t="s">
        <v>299</v>
      </c>
      <c r="Q6" s="1426" t="s">
        <v>366</v>
      </c>
      <c r="R6" s="1426" t="s">
        <v>299</v>
      </c>
      <c r="S6" s="1426" t="s">
        <v>366</v>
      </c>
      <c r="T6" s="1426" t="s">
        <v>299</v>
      </c>
      <c r="U6" s="1426" t="s">
        <v>366</v>
      </c>
      <c r="V6" s="1426" t="s">
        <v>299</v>
      </c>
      <c r="W6" s="1426" t="s">
        <v>366</v>
      </c>
      <c r="X6" s="1426" t="s">
        <v>299</v>
      </c>
      <c r="Y6" s="1426" t="s">
        <v>366</v>
      </c>
      <c r="Z6" s="1426" t="s">
        <v>299</v>
      </c>
      <c r="AA6" s="1426" t="s">
        <v>366</v>
      </c>
      <c r="AB6" s="1426" t="s">
        <v>299</v>
      </c>
      <c r="AC6" s="1426" t="s">
        <v>366</v>
      </c>
      <c r="AD6" s="1438"/>
    </row>
    <row r="7" spans="1:30" s="27" customFormat="1" ht="69" customHeight="1">
      <c r="A7" s="1438"/>
      <c r="B7" s="1438"/>
      <c r="C7" s="1438"/>
      <c r="D7" s="1438"/>
      <c r="E7" s="1438"/>
      <c r="F7" s="1426"/>
      <c r="G7" s="1426"/>
      <c r="H7" s="1426"/>
      <c r="I7" s="1426"/>
      <c r="J7" s="1426"/>
      <c r="K7" s="1426"/>
      <c r="L7" s="1426"/>
      <c r="M7" s="1426"/>
      <c r="N7" s="1426"/>
      <c r="O7" s="1426"/>
      <c r="P7" s="1426"/>
      <c r="Q7" s="1426"/>
      <c r="R7" s="1426"/>
      <c r="S7" s="1426"/>
      <c r="T7" s="1426"/>
      <c r="U7" s="1426"/>
      <c r="V7" s="1426"/>
      <c r="W7" s="1426"/>
      <c r="X7" s="1426"/>
      <c r="Y7" s="1426"/>
      <c r="Z7" s="1426"/>
      <c r="AA7" s="1426"/>
      <c r="AB7" s="1426"/>
      <c r="AC7" s="1426"/>
      <c r="AD7" s="1438"/>
    </row>
    <row r="8" spans="1:30" s="28" customFormat="1" ht="30.75" customHeight="1">
      <c r="A8" s="7">
        <v>1</v>
      </c>
      <c r="B8" s="7">
        <v>2</v>
      </c>
      <c r="C8" s="7">
        <v>3</v>
      </c>
      <c r="D8" s="7">
        <v>4</v>
      </c>
      <c r="E8" s="7">
        <v>5</v>
      </c>
      <c r="F8" s="7">
        <v>6</v>
      </c>
      <c r="G8" s="7">
        <v>7</v>
      </c>
      <c r="H8" s="7">
        <v>8</v>
      </c>
      <c r="I8" s="7">
        <v>9</v>
      </c>
      <c r="J8" s="7">
        <v>10</v>
      </c>
      <c r="K8" s="7">
        <v>11</v>
      </c>
      <c r="L8" s="7">
        <v>12</v>
      </c>
      <c r="M8" s="7">
        <v>13</v>
      </c>
      <c r="N8" s="7">
        <v>14</v>
      </c>
      <c r="O8" s="7">
        <v>15</v>
      </c>
      <c r="P8" s="7">
        <v>16</v>
      </c>
      <c r="Q8" s="7">
        <v>17</v>
      </c>
      <c r="R8" s="7">
        <v>18</v>
      </c>
      <c r="S8" s="7">
        <v>19</v>
      </c>
      <c r="T8" s="7">
        <v>20</v>
      </c>
      <c r="U8" s="7">
        <v>21</v>
      </c>
      <c r="V8" s="7">
        <v>22</v>
      </c>
      <c r="W8" s="7">
        <v>23</v>
      </c>
      <c r="X8" s="7">
        <v>24</v>
      </c>
      <c r="Y8" s="7">
        <v>25</v>
      </c>
      <c r="Z8" s="7">
        <v>26</v>
      </c>
      <c r="AA8" s="7">
        <v>27</v>
      </c>
      <c r="AB8" s="7">
        <v>28</v>
      </c>
      <c r="AC8" s="7">
        <v>29</v>
      </c>
      <c r="AD8" s="7">
        <v>30</v>
      </c>
    </row>
    <row r="9" spans="1:30" ht="32.25" customHeight="1">
      <c r="A9" s="38"/>
      <c r="B9" s="39" t="s">
        <v>305</v>
      </c>
      <c r="C9" s="40"/>
      <c r="D9" s="40"/>
      <c r="E9" s="40"/>
      <c r="F9" s="40"/>
      <c r="G9" s="41"/>
      <c r="H9" s="41"/>
      <c r="I9" s="41"/>
      <c r="J9" s="41"/>
      <c r="K9" s="41"/>
      <c r="L9" s="41"/>
      <c r="M9" s="41"/>
      <c r="N9" s="41"/>
      <c r="O9" s="41"/>
      <c r="P9" s="41"/>
      <c r="Q9" s="41"/>
      <c r="R9" s="41"/>
      <c r="S9" s="41"/>
      <c r="T9" s="41"/>
      <c r="U9" s="41"/>
      <c r="V9" s="41"/>
      <c r="W9" s="41"/>
      <c r="X9" s="41"/>
      <c r="Y9" s="41"/>
      <c r="Z9" s="41"/>
      <c r="AA9" s="41"/>
      <c r="AB9" s="41"/>
      <c r="AC9" s="41"/>
      <c r="AD9" s="41"/>
    </row>
    <row r="10" spans="1:30" s="29" customFormat="1" ht="36" customHeight="1">
      <c r="A10" s="42" t="s">
        <v>107</v>
      </c>
      <c r="B10" s="43" t="s">
        <v>367</v>
      </c>
      <c r="C10" s="44"/>
      <c r="D10" s="44"/>
      <c r="E10" s="44"/>
      <c r="F10" s="44"/>
      <c r="G10" s="45"/>
      <c r="H10" s="45"/>
      <c r="I10" s="45"/>
      <c r="J10" s="45"/>
      <c r="K10" s="45"/>
      <c r="L10" s="45"/>
      <c r="M10" s="45"/>
      <c r="N10" s="45"/>
      <c r="O10" s="45"/>
      <c r="P10" s="45"/>
      <c r="Q10" s="45"/>
      <c r="R10" s="45"/>
      <c r="S10" s="45"/>
      <c r="T10" s="45"/>
      <c r="U10" s="45"/>
      <c r="V10" s="45"/>
      <c r="W10" s="45"/>
      <c r="X10" s="45"/>
      <c r="Y10" s="45"/>
      <c r="Z10" s="45"/>
      <c r="AA10" s="45"/>
      <c r="AB10" s="45"/>
      <c r="AC10" s="45"/>
      <c r="AD10" s="45"/>
    </row>
    <row r="11" spans="1:30" ht="24.75" customHeight="1">
      <c r="A11" s="46">
        <v>1</v>
      </c>
      <c r="B11" s="47" t="s">
        <v>307</v>
      </c>
      <c r="C11" s="48"/>
      <c r="D11" s="48"/>
      <c r="E11" s="48"/>
      <c r="F11" s="48"/>
      <c r="G11" s="49"/>
      <c r="H11" s="49"/>
      <c r="I11" s="49"/>
      <c r="J11" s="49"/>
      <c r="K11" s="49"/>
      <c r="L11" s="49"/>
      <c r="M11" s="49"/>
      <c r="N11" s="49"/>
      <c r="O11" s="49"/>
      <c r="P11" s="49"/>
      <c r="Q11" s="49"/>
      <c r="R11" s="49"/>
      <c r="S11" s="49"/>
      <c r="T11" s="49"/>
      <c r="U11" s="49"/>
      <c r="V11" s="49"/>
      <c r="W11" s="49"/>
      <c r="X11" s="49"/>
      <c r="Y11" s="49"/>
      <c r="Z11" s="49"/>
      <c r="AA11" s="49"/>
      <c r="AB11" s="49"/>
      <c r="AC11" s="49"/>
      <c r="AD11" s="49"/>
    </row>
    <row r="12" spans="1:30" ht="24.75" customHeight="1">
      <c r="A12" s="46">
        <v>2</v>
      </c>
      <c r="B12" s="47" t="s">
        <v>307</v>
      </c>
      <c r="C12" s="48"/>
      <c r="D12" s="48"/>
      <c r="E12" s="48"/>
      <c r="F12" s="48"/>
      <c r="G12" s="49"/>
      <c r="H12" s="49"/>
      <c r="I12" s="49"/>
      <c r="J12" s="49"/>
      <c r="K12" s="49"/>
      <c r="L12" s="49"/>
      <c r="M12" s="49"/>
      <c r="N12" s="49"/>
      <c r="O12" s="49"/>
      <c r="P12" s="49"/>
      <c r="Q12" s="49"/>
      <c r="R12" s="49"/>
      <c r="S12" s="49"/>
      <c r="T12" s="49"/>
      <c r="U12" s="49"/>
      <c r="V12" s="49"/>
      <c r="W12" s="49"/>
      <c r="X12" s="49"/>
      <c r="Y12" s="49"/>
      <c r="Z12" s="49"/>
      <c r="AA12" s="49"/>
      <c r="AB12" s="49"/>
      <c r="AC12" s="49"/>
      <c r="AD12" s="49"/>
    </row>
    <row r="13" spans="1:30" ht="24.75" customHeight="1">
      <c r="A13" s="46"/>
      <c r="B13" s="159" t="s">
        <v>308</v>
      </c>
      <c r="C13" s="48"/>
      <c r="D13" s="48"/>
      <c r="E13" s="48"/>
      <c r="F13" s="48"/>
      <c r="G13" s="49"/>
      <c r="H13" s="49"/>
      <c r="I13" s="49"/>
      <c r="J13" s="49"/>
      <c r="K13" s="49"/>
      <c r="L13" s="49"/>
      <c r="M13" s="49"/>
      <c r="N13" s="49"/>
      <c r="O13" s="49"/>
      <c r="P13" s="49"/>
      <c r="Q13" s="49"/>
      <c r="R13" s="49"/>
      <c r="S13" s="49"/>
      <c r="T13" s="49"/>
      <c r="U13" s="49"/>
      <c r="V13" s="49"/>
      <c r="W13" s="49"/>
      <c r="X13" s="49"/>
      <c r="Y13" s="49"/>
      <c r="Z13" s="49"/>
      <c r="AA13" s="49"/>
      <c r="AB13" s="49"/>
      <c r="AC13" s="49"/>
      <c r="AD13" s="49"/>
    </row>
    <row r="14" spans="1:30" s="29" customFormat="1" ht="33.75" customHeight="1">
      <c r="A14" s="42" t="s">
        <v>117</v>
      </c>
      <c r="B14" s="50" t="s">
        <v>368</v>
      </c>
      <c r="C14" s="44"/>
      <c r="D14" s="44"/>
      <c r="E14" s="44"/>
      <c r="F14" s="44"/>
      <c r="G14" s="45"/>
      <c r="H14" s="45"/>
      <c r="I14" s="45"/>
      <c r="J14" s="45"/>
      <c r="K14" s="45"/>
      <c r="L14" s="45"/>
      <c r="M14" s="45"/>
      <c r="N14" s="45"/>
      <c r="O14" s="45"/>
      <c r="P14" s="45"/>
      <c r="Q14" s="45"/>
      <c r="R14" s="45"/>
      <c r="S14" s="45"/>
      <c r="T14" s="45"/>
      <c r="U14" s="45"/>
      <c r="V14" s="45"/>
      <c r="W14" s="45"/>
      <c r="X14" s="45"/>
      <c r="Y14" s="45"/>
      <c r="Z14" s="45"/>
      <c r="AA14" s="45"/>
      <c r="AB14" s="45"/>
      <c r="AC14" s="45"/>
      <c r="AD14" s="45"/>
    </row>
    <row r="15" spans="1:30" ht="24.75" customHeight="1">
      <c r="A15" s="46">
        <v>1</v>
      </c>
      <c r="B15" s="47" t="s">
        <v>307</v>
      </c>
      <c r="C15" s="48"/>
      <c r="D15" s="48"/>
      <c r="E15" s="48"/>
      <c r="F15" s="48"/>
      <c r="G15" s="49"/>
      <c r="H15" s="49"/>
      <c r="I15" s="49"/>
      <c r="J15" s="49"/>
      <c r="K15" s="49"/>
      <c r="L15" s="49"/>
      <c r="M15" s="49"/>
      <c r="N15" s="49"/>
      <c r="O15" s="49"/>
      <c r="P15" s="49"/>
      <c r="Q15" s="49"/>
      <c r="R15" s="49"/>
      <c r="S15" s="49"/>
      <c r="T15" s="49"/>
      <c r="U15" s="49"/>
      <c r="V15" s="49"/>
      <c r="W15" s="49"/>
      <c r="X15" s="49"/>
      <c r="Y15" s="49"/>
      <c r="Z15" s="49"/>
      <c r="AA15" s="49"/>
      <c r="AB15" s="49"/>
      <c r="AC15" s="49"/>
      <c r="AD15" s="49"/>
    </row>
    <row r="16" spans="1:30" ht="24.75" customHeight="1">
      <c r="A16" s="46">
        <v>2</v>
      </c>
      <c r="B16" s="47" t="s">
        <v>307</v>
      </c>
      <c r="C16" s="48"/>
      <c r="D16" s="48"/>
      <c r="E16" s="48"/>
      <c r="F16" s="48"/>
      <c r="G16" s="49"/>
      <c r="H16" s="49"/>
      <c r="I16" s="49"/>
      <c r="J16" s="49"/>
      <c r="K16" s="49"/>
      <c r="L16" s="49"/>
      <c r="M16" s="49"/>
      <c r="N16" s="49"/>
      <c r="O16" s="49"/>
      <c r="P16" s="49"/>
      <c r="Q16" s="49"/>
      <c r="R16" s="49"/>
      <c r="S16" s="49"/>
      <c r="T16" s="49"/>
      <c r="U16" s="49"/>
      <c r="V16" s="49"/>
      <c r="W16" s="49"/>
      <c r="X16" s="49"/>
      <c r="Y16" s="49"/>
      <c r="Z16" s="49"/>
      <c r="AA16" s="49"/>
      <c r="AB16" s="49"/>
      <c r="AC16" s="49"/>
      <c r="AD16" s="49"/>
    </row>
    <row r="17" spans="1:30" ht="24.75" customHeight="1">
      <c r="A17" s="46"/>
      <c r="B17" s="159" t="s">
        <v>308</v>
      </c>
      <c r="C17" s="48"/>
      <c r="D17" s="48"/>
      <c r="E17" s="48"/>
      <c r="F17" s="48"/>
      <c r="G17" s="49"/>
      <c r="H17" s="49"/>
      <c r="I17" s="49"/>
      <c r="J17" s="49"/>
      <c r="K17" s="49"/>
      <c r="L17" s="49"/>
      <c r="M17" s="49"/>
      <c r="N17" s="49"/>
      <c r="O17" s="49"/>
      <c r="P17" s="49"/>
      <c r="Q17" s="49"/>
      <c r="R17" s="49"/>
      <c r="S17" s="49"/>
      <c r="T17" s="49"/>
      <c r="U17" s="49"/>
      <c r="V17" s="49"/>
      <c r="W17" s="49"/>
      <c r="X17" s="49"/>
      <c r="Y17" s="49"/>
      <c r="Z17" s="49"/>
      <c r="AA17" s="49"/>
      <c r="AB17" s="49"/>
      <c r="AC17" s="49"/>
      <c r="AD17" s="49"/>
    </row>
    <row r="18" spans="1:30" ht="0.75" customHeight="1">
      <c r="A18" s="51"/>
      <c r="B18" s="52"/>
      <c r="C18" s="53"/>
      <c r="D18" s="53"/>
      <c r="E18" s="53"/>
      <c r="F18" s="53"/>
      <c r="G18" s="54"/>
      <c r="H18" s="54"/>
      <c r="I18" s="54"/>
      <c r="J18" s="54"/>
      <c r="K18" s="54"/>
      <c r="L18" s="54"/>
      <c r="M18" s="54"/>
      <c r="N18" s="54"/>
      <c r="O18" s="54"/>
      <c r="P18" s="54"/>
      <c r="Q18" s="54"/>
      <c r="R18" s="54"/>
      <c r="S18" s="54"/>
      <c r="T18" s="54"/>
      <c r="U18" s="54"/>
      <c r="V18" s="54"/>
      <c r="W18" s="54"/>
      <c r="X18" s="54"/>
      <c r="Y18" s="54"/>
      <c r="Z18" s="54"/>
      <c r="AA18" s="54"/>
      <c r="AB18" s="54"/>
      <c r="AC18" s="54"/>
      <c r="AD18" s="66"/>
    </row>
    <row r="19" spans="1:30" ht="0.75" customHeight="1">
      <c r="A19" s="55"/>
      <c r="B19" s="56"/>
      <c r="C19" s="57"/>
      <c r="D19" s="57"/>
      <c r="E19" s="57"/>
      <c r="F19" s="57"/>
      <c r="G19" s="58"/>
      <c r="H19" s="58"/>
      <c r="I19" s="58"/>
      <c r="J19" s="58"/>
      <c r="K19" s="58"/>
      <c r="L19" s="58"/>
      <c r="M19" s="58"/>
      <c r="N19" s="58"/>
      <c r="O19" s="58"/>
      <c r="P19" s="58"/>
      <c r="Q19" s="58"/>
      <c r="R19" s="58"/>
      <c r="S19" s="58"/>
      <c r="T19" s="58"/>
      <c r="U19" s="58"/>
      <c r="V19" s="58"/>
      <c r="W19" s="58"/>
      <c r="X19" s="58"/>
      <c r="Y19" s="58"/>
      <c r="Z19" s="58"/>
      <c r="AA19" s="58"/>
      <c r="AB19" s="58"/>
      <c r="AC19" s="58"/>
      <c r="AD19" s="67"/>
    </row>
    <row r="20" spans="1:30" ht="0.75" customHeight="1">
      <c r="A20" s="55"/>
      <c r="B20" s="56"/>
      <c r="C20" s="57"/>
      <c r="D20" s="57"/>
      <c r="E20" s="57"/>
      <c r="F20" s="57"/>
      <c r="G20" s="58"/>
      <c r="H20" s="58"/>
      <c r="I20" s="58"/>
      <c r="J20" s="58"/>
      <c r="K20" s="58"/>
      <c r="L20" s="58"/>
      <c r="M20" s="58"/>
      <c r="N20" s="58"/>
      <c r="O20" s="58"/>
      <c r="P20" s="58"/>
      <c r="Q20" s="58"/>
      <c r="R20" s="58"/>
      <c r="S20" s="58"/>
      <c r="T20" s="58"/>
      <c r="U20" s="58"/>
      <c r="V20" s="58"/>
      <c r="W20" s="58"/>
      <c r="X20" s="58"/>
      <c r="Y20" s="58"/>
      <c r="Z20" s="58"/>
      <c r="AA20" s="58"/>
      <c r="AB20" s="58"/>
      <c r="AC20" s="58"/>
      <c r="AD20" s="67"/>
    </row>
    <row r="21" spans="1:30" ht="0.75" customHeight="1">
      <c r="A21" s="55"/>
      <c r="B21" s="56"/>
      <c r="C21" s="57"/>
      <c r="D21" s="57"/>
      <c r="E21" s="57"/>
      <c r="F21" s="57"/>
      <c r="G21" s="58"/>
      <c r="H21" s="58"/>
      <c r="I21" s="58"/>
      <c r="J21" s="58"/>
      <c r="K21" s="58"/>
      <c r="L21" s="58"/>
      <c r="M21" s="58"/>
      <c r="N21" s="58"/>
      <c r="O21" s="58"/>
      <c r="P21" s="58"/>
      <c r="Q21" s="58"/>
      <c r="R21" s="58"/>
      <c r="S21" s="58"/>
      <c r="T21" s="58"/>
      <c r="U21" s="58"/>
      <c r="V21" s="58"/>
      <c r="W21" s="58"/>
      <c r="X21" s="58"/>
      <c r="Y21" s="58"/>
      <c r="Z21" s="58"/>
      <c r="AA21" s="58"/>
      <c r="AB21" s="58"/>
      <c r="AC21" s="58"/>
      <c r="AD21" s="67"/>
    </row>
    <row r="22" spans="1:30" ht="0.75" customHeight="1">
      <c r="A22" s="55"/>
      <c r="B22" s="56"/>
      <c r="C22" s="57"/>
      <c r="D22" s="57"/>
      <c r="E22" s="57"/>
      <c r="F22" s="57"/>
      <c r="G22" s="58"/>
      <c r="H22" s="58"/>
      <c r="I22" s="58"/>
      <c r="J22" s="58"/>
      <c r="K22" s="58"/>
      <c r="L22" s="58"/>
      <c r="M22" s="58"/>
      <c r="N22" s="58"/>
      <c r="O22" s="58"/>
      <c r="P22" s="58"/>
      <c r="Q22" s="58"/>
      <c r="R22" s="58"/>
      <c r="S22" s="58"/>
      <c r="T22" s="58"/>
      <c r="U22" s="58"/>
      <c r="V22" s="58"/>
      <c r="W22" s="58"/>
      <c r="X22" s="58"/>
      <c r="Y22" s="58"/>
      <c r="Z22" s="58"/>
      <c r="AA22" s="58"/>
      <c r="AB22" s="58"/>
      <c r="AC22" s="58"/>
      <c r="AD22" s="67"/>
    </row>
    <row r="23" spans="1:30" ht="0.75" customHeight="1">
      <c r="A23" s="55"/>
      <c r="B23" s="56"/>
      <c r="C23" s="57"/>
      <c r="D23" s="57"/>
      <c r="E23" s="57"/>
      <c r="F23" s="57"/>
      <c r="G23" s="58"/>
      <c r="H23" s="58"/>
      <c r="I23" s="58"/>
      <c r="J23" s="58"/>
      <c r="K23" s="58"/>
      <c r="L23" s="58"/>
      <c r="M23" s="58"/>
      <c r="N23" s="58"/>
      <c r="O23" s="58"/>
      <c r="P23" s="58"/>
      <c r="Q23" s="58"/>
      <c r="R23" s="58"/>
      <c r="S23" s="58"/>
      <c r="T23" s="58"/>
      <c r="U23" s="58"/>
      <c r="V23" s="58"/>
      <c r="W23" s="58"/>
      <c r="X23" s="58"/>
      <c r="Y23" s="58"/>
      <c r="Z23" s="58"/>
      <c r="AA23" s="58"/>
      <c r="AB23" s="58"/>
      <c r="AC23" s="58"/>
      <c r="AD23" s="67"/>
    </row>
    <row r="24" spans="1:30" ht="0.75" customHeight="1">
      <c r="A24" s="55"/>
      <c r="B24" s="56"/>
      <c r="C24" s="57"/>
      <c r="D24" s="57"/>
      <c r="E24" s="57"/>
      <c r="F24" s="57"/>
      <c r="G24" s="58"/>
      <c r="H24" s="58"/>
      <c r="I24" s="58"/>
      <c r="J24" s="58"/>
      <c r="K24" s="58"/>
      <c r="L24" s="58"/>
      <c r="M24" s="58"/>
      <c r="N24" s="58"/>
      <c r="O24" s="58"/>
      <c r="P24" s="58"/>
      <c r="Q24" s="58"/>
      <c r="R24" s="58"/>
      <c r="S24" s="58"/>
      <c r="T24" s="58"/>
      <c r="U24" s="58"/>
      <c r="V24" s="58"/>
      <c r="W24" s="58"/>
      <c r="X24" s="58"/>
      <c r="Y24" s="58"/>
      <c r="Z24" s="58"/>
      <c r="AA24" s="58"/>
      <c r="AB24" s="58"/>
      <c r="AC24" s="58"/>
      <c r="AD24" s="67"/>
    </row>
    <row r="25" spans="1:30" ht="0.75" customHeight="1">
      <c r="A25" s="55"/>
      <c r="B25" s="56"/>
      <c r="C25" s="57"/>
      <c r="D25" s="57"/>
      <c r="E25" s="57"/>
      <c r="F25" s="57"/>
      <c r="G25" s="58"/>
      <c r="H25" s="58"/>
      <c r="I25" s="58"/>
      <c r="J25" s="58"/>
      <c r="K25" s="58"/>
      <c r="L25" s="58"/>
      <c r="M25" s="58"/>
      <c r="N25" s="58"/>
      <c r="O25" s="58"/>
      <c r="P25" s="58"/>
      <c r="Q25" s="58"/>
      <c r="R25" s="58"/>
      <c r="S25" s="58"/>
      <c r="T25" s="58"/>
      <c r="U25" s="58"/>
      <c r="V25" s="58"/>
      <c r="W25" s="58"/>
      <c r="X25" s="58"/>
      <c r="Y25" s="58"/>
      <c r="Z25" s="58"/>
      <c r="AA25" s="58"/>
      <c r="AB25" s="58"/>
      <c r="AC25" s="58"/>
      <c r="AD25" s="67"/>
    </row>
    <row r="26" spans="1:30" ht="0.75" customHeight="1">
      <c r="A26" s="55"/>
      <c r="B26" s="56"/>
      <c r="C26" s="57"/>
      <c r="D26" s="57"/>
      <c r="E26" s="57"/>
      <c r="F26" s="57"/>
      <c r="G26" s="58"/>
      <c r="H26" s="58"/>
      <c r="I26" s="58"/>
      <c r="J26" s="58"/>
      <c r="K26" s="58"/>
      <c r="L26" s="58"/>
      <c r="M26" s="58"/>
      <c r="N26" s="58"/>
      <c r="O26" s="58"/>
      <c r="P26" s="58"/>
      <c r="Q26" s="58"/>
      <c r="R26" s="58"/>
      <c r="S26" s="58"/>
      <c r="T26" s="58"/>
      <c r="U26" s="58"/>
      <c r="V26" s="58"/>
      <c r="W26" s="58"/>
      <c r="X26" s="58"/>
      <c r="Y26" s="58"/>
      <c r="Z26" s="58"/>
      <c r="AA26" s="58"/>
      <c r="AB26" s="58"/>
      <c r="AC26" s="58"/>
      <c r="AD26" s="67"/>
    </row>
    <row r="27" spans="1:30" ht="0.75" customHeight="1">
      <c r="A27" s="55"/>
      <c r="B27" s="56"/>
      <c r="C27" s="57"/>
      <c r="D27" s="57"/>
      <c r="E27" s="57"/>
      <c r="F27" s="57"/>
      <c r="G27" s="58"/>
      <c r="H27" s="58"/>
      <c r="I27" s="58"/>
      <c r="J27" s="58"/>
      <c r="K27" s="58"/>
      <c r="L27" s="58"/>
      <c r="M27" s="58"/>
      <c r="N27" s="58"/>
      <c r="O27" s="58"/>
      <c r="P27" s="58"/>
      <c r="Q27" s="58"/>
      <c r="R27" s="58"/>
      <c r="S27" s="58"/>
      <c r="T27" s="58"/>
      <c r="U27" s="58"/>
      <c r="V27" s="58"/>
      <c r="W27" s="58"/>
      <c r="X27" s="58"/>
      <c r="Y27" s="58"/>
      <c r="Z27" s="58"/>
      <c r="AA27" s="58"/>
      <c r="AB27" s="58"/>
      <c r="AC27" s="58"/>
      <c r="AD27" s="67"/>
    </row>
    <row r="28" spans="1:30" ht="0.75" customHeight="1">
      <c r="A28" s="55"/>
      <c r="B28" s="56"/>
      <c r="C28" s="57"/>
      <c r="D28" s="57"/>
      <c r="E28" s="57"/>
      <c r="F28" s="57"/>
      <c r="G28" s="58"/>
      <c r="H28" s="58"/>
      <c r="I28" s="58"/>
      <c r="J28" s="58"/>
      <c r="K28" s="58"/>
      <c r="L28" s="58"/>
      <c r="M28" s="58"/>
      <c r="N28" s="58"/>
      <c r="O28" s="58"/>
      <c r="P28" s="58"/>
      <c r="Q28" s="58"/>
      <c r="R28" s="58"/>
      <c r="S28" s="58"/>
      <c r="T28" s="58"/>
      <c r="U28" s="58"/>
      <c r="V28" s="58"/>
      <c r="W28" s="58"/>
      <c r="X28" s="58"/>
      <c r="Y28" s="58"/>
      <c r="Z28" s="58"/>
      <c r="AA28" s="58"/>
      <c r="AB28" s="58"/>
      <c r="AC28" s="58"/>
      <c r="AD28" s="67"/>
    </row>
    <row r="29" spans="1:30" ht="0.75" customHeight="1">
      <c r="A29" s="55"/>
      <c r="B29" s="56"/>
      <c r="C29" s="57"/>
      <c r="D29" s="57"/>
      <c r="E29" s="57"/>
      <c r="F29" s="57"/>
      <c r="G29" s="58"/>
      <c r="H29" s="58"/>
      <c r="I29" s="58"/>
      <c r="J29" s="58"/>
      <c r="K29" s="58"/>
      <c r="L29" s="58"/>
      <c r="M29" s="58"/>
      <c r="N29" s="58"/>
      <c r="O29" s="58"/>
      <c r="P29" s="58"/>
      <c r="Q29" s="58"/>
      <c r="R29" s="58"/>
      <c r="S29" s="58"/>
      <c r="T29" s="58"/>
      <c r="U29" s="58"/>
      <c r="V29" s="58"/>
      <c r="W29" s="58"/>
      <c r="X29" s="58"/>
      <c r="Y29" s="58"/>
      <c r="Z29" s="58"/>
      <c r="AA29" s="58"/>
      <c r="AB29" s="58"/>
      <c r="AC29" s="58"/>
      <c r="AD29" s="67"/>
    </row>
    <row r="30" spans="1:30" ht="0.75" customHeight="1">
      <c r="A30" s="55"/>
      <c r="B30" s="56"/>
      <c r="C30" s="57"/>
      <c r="D30" s="57"/>
      <c r="E30" s="57"/>
      <c r="F30" s="57"/>
      <c r="G30" s="58"/>
      <c r="H30" s="58"/>
      <c r="I30" s="58"/>
      <c r="J30" s="58"/>
      <c r="K30" s="58"/>
      <c r="L30" s="58"/>
      <c r="M30" s="58"/>
      <c r="N30" s="58"/>
      <c r="O30" s="58"/>
      <c r="P30" s="58"/>
      <c r="Q30" s="58"/>
      <c r="R30" s="58"/>
      <c r="S30" s="58"/>
      <c r="T30" s="58"/>
      <c r="U30" s="58"/>
      <c r="V30" s="58"/>
      <c r="W30" s="58"/>
      <c r="X30" s="58"/>
      <c r="Y30" s="58"/>
      <c r="Z30" s="58"/>
      <c r="AA30" s="58"/>
      <c r="AB30" s="58"/>
      <c r="AC30" s="58"/>
      <c r="AD30" s="67"/>
    </row>
    <row r="31" spans="1:29" ht="24" customHeight="1">
      <c r="A31" s="59"/>
      <c r="B31" s="1439" t="s">
        <v>314</v>
      </c>
      <c r="C31" s="1439"/>
      <c r="D31" s="1439"/>
      <c r="E31" s="1439"/>
      <c r="F31" s="1439"/>
      <c r="G31" s="1439"/>
      <c r="H31" s="1439"/>
      <c r="I31" s="1439"/>
      <c r="J31" s="1439"/>
      <c r="K31" s="1439"/>
      <c r="L31" s="1439"/>
      <c r="M31" s="1439"/>
      <c r="N31" s="1439"/>
      <c r="O31" s="1439"/>
      <c r="P31" s="1439"/>
      <c r="Q31" s="1439"/>
      <c r="R31" s="1439"/>
      <c r="S31" s="1439"/>
      <c r="T31" s="60"/>
      <c r="U31" s="60"/>
      <c r="V31" s="60"/>
      <c r="W31" s="60"/>
      <c r="X31" s="60"/>
      <c r="Y31" s="60"/>
      <c r="Z31" s="60"/>
      <c r="AA31" s="60"/>
      <c r="AB31" s="63"/>
      <c r="AC31" s="63"/>
    </row>
    <row r="32" spans="1:25" s="25" customFormat="1" ht="26.25" customHeight="1">
      <c r="A32" s="59"/>
      <c r="B32" s="1437" t="s">
        <v>315</v>
      </c>
      <c r="C32" s="1437"/>
      <c r="D32" s="1437"/>
      <c r="E32" s="1437"/>
      <c r="F32" s="1437"/>
      <c r="G32" s="1437"/>
      <c r="H32" s="1437"/>
      <c r="I32" s="1437"/>
      <c r="J32" s="1437"/>
      <c r="K32" s="1437"/>
      <c r="L32" s="1437"/>
      <c r="M32" s="1437"/>
      <c r="N32" s="1437"/>
      <c r="O32" s="1437"/>
      <c r="P32" s="1437"/>
      <c r="Q32" s="1437"/>
      <c r="R32" s="1437"/>
      <c r="S32" s="1437"/>
      <c r="T32" s="63"/>
      <c r="U32" s="63"/>
      <c r="X32" s="63"/>
      <c r="Y32" s="63"/>
    </row>
    <row r="33" spans="1:25" s="25" customFormat="1" ht="27.75" customHeight="1">
      <c r="A33" s="59"/>
      <c r="B33" s="1437" t="s">
        <v>369</v>
      </c>
      <c r="C33" s="1437"/>
      <c r="D33" s="1437"/>
      <c r="E33" s="1437"/>
      <c r="F33" s="1437"/>
      <c r="G33" s="1437"/>
      <c r="H33" s="1437"/>
      <c r="I33" s="1437"/>
      <c r="J33" s="1437"/>
      <c r="K33" s="1437"/>
      <c r="L33" s="1437"/>
      <c r="M33" s="1437"/>
      <c r="N33" s="1437"/>
      <c r="O33" s="1437"/>
      <c r="P33" s="1437"/>
      <c r="Q33" s="1437"/>
      <c r="R33" s="1437"/>
      <c r="S33" s="1437"/>
      <c r="T33" s="63"/>
      <c r="U33" s="63"/>
      <c r="X33" s="63"/>
      <c r="Y33" s="63"/>
    </row>
    <row r="34" spans="1:25" s="25" customFormat="1" ht="28.5" customHeight="1">
      <c r="A34" s="59"/>
      <c r="B34" s="1437" t="s">
        <v>317</v>
      </c>
      <c r="C34" s="1437"/>
      <c r="D34" s="1437"/>
      <c r="E34" s="1437"/>
      <c r="F34" s="1437"/>
      <c r="G34" s="1437"/>
      <c r="H34" s="1437"/>
      <c r="I34" s="1437"/>
      <c r="J34" s="1437"/>
      <c r="K34" s="1437"/>
      <c r="L34" s="1437"/>
      <c r="M34" s="1437"/>
      <c r="N34" s="1437"/>
      <c r="O34" s="1437"/>
      <c r="P34" s="1437"/>
      <c r="Q34" s="1437"/>
      <c r="R34" s="1437"/>
      <c r="S34" s="1437"/>
      <c r="T34" s="63"/>
      <c r="U34" s="63"/>
      <c r="X34" s="63"/>
      <c r="Y34" s="63"/>
    </row>
    <row r="35" spans="1:25" s="25" customFormat="1" ht="27.75" customHeight="1">
      <c r="A35" s="59"/>
      <c r="B35" s="1437" t="s">
        <v>370</v>
      </c>
      <c r="C35" s="1437"/>
      <c r="D35" s="1437"/>
      <c r="E35" s="1437"/>
      <c r="F35" s="1437"/>
      <c r="G35" s="1437"/>
      <c r="H35" s="1437"/>
      <c r="I35" s="1437"/>
      <c r="J35" s="1437"/>
      <c r="K35" s="1437"/>
      <c r="L35" s="1437"/>
      <c r="M35" s="1437"/>
      <c r="N35" s="1437"/>
      <c r="O35" s="1437"/>
      <c r="P35" s="1437"/>
      <c r="Q35" s="1437"/>
      <c r="R35" s="1437"/>
      <c r="S35" s="1437"/>
      <c r="T35" s="63"/>
      <c r="U35" s="63"/>
      <c r="X35" s="63"/>
      <c r="Y35" s="63"/>
    </row>
    <row r="36" spans="1:25" s="25" customFormat="1" ht="24.75" customHeight="1">
      <c r="A36" s="59"/>
      <c r="B36" s="1437" t="s">
        <v>319</v>
      </c>
      <c r="C36" s="1437"/>
      <c r="D36" s="1437"/>
      <c r="E36" s="1437"/>
      <c r="F36" s="1437"/>
      <c r="G36" s="1437"/>
      <c r="H36" s="1437"/>
      <c r="I36" s="1437"/>
      <c r="J36" s="1437"/>
      <c r="K36" s="1437"/>
      <c r="L36" s="1437"/>
      <c r="M36" s="1437"/>
      <c r="N36" s="1437"/>
      <c r="O36" s="1437"/>
      <c r="P36" s="1437"/>
      <c r="Q36" s="1437"/>
      <c r="R36" s="1437"/>
      <c r="S36" s="1437"/>
      <c r="T36" s="63"/>
      <c r="U36" s="63"/>
      <c r="X36" s="63"/>
      <c r="Y36" s="63"/>
    </row>
    <row r="37" spans="1:25" s="25" customFormat="1" ht="29.25" customHeight="1">
      <c r="A37" s="59"/>
      <c r="B37" s="1437" t="s">
        <v>371</v>
      </c>
      <c r="C37" s="1437"/>
      <c r="D37" s="1437"/>
      <c r="E37" s="1437"/>
      <c r="F37" s="1437"/>
      <c r="G37" s="1437"/>
      <c r="H37" s="1437"/>
      <c r="I37" s="1437"/>
      <c r="J37" s="1437"/>
      <c r="K37" s="1437"/>
      <c r="L37" s="1437"/>
      <c r="M37" s="1437"/>
      <c r="N37" s="1437"/>
      <c r="O37" s="1437"/>
      <c r="P37" s="1437"/>
      <c r="Q37" s="1437"/>
      <c r="R37" s="1437"/>
      <c r="S37" s="1437"/>
      <c r="T37" s="63"/>
      <c r="U37" s="63"/>
      <c r="X37" s="63"/>
      <c r="Y37" s="63"/>
    </row>
    <row r="38" spans="1:25" s="25" customFormat="1" ht="24" customHeight="1">
      <c r="A38" s="59"/>
      <c r="B38" s="1437" t="s">
        <v>372</v>
      </c>
      <c r="C38" s="1437"/>
      <c r="D38" s="1437"/>
      <c r="E38" s="1437"/>
      <c r="F38" s="1437"/>
      <c r="G38" s="1437"/>
      <c r="H38" s="1437"/>
      <c r="I38" s="1437"/>
      <c r="J38" s="1437"/>
      <c r="K38" s="1437"/>
      <c r="L38" s="1437"/>
      <c r="M38" s="1437"/>
      <c r="N38" s="1437"/>
      <c r="O38" s="1437"/>
      <c r="P38" s="1437"/>
      <c r="Q38" s="1437"/>
      <c r="R38" s="1437"/>
      <c r="S38" s="1437"/>
      <c r="T38" s="63"/>
      <c r="U38" s="63"/>
      <c r="X38" s="63"/>
      <c r="Y38" s="63"/>
    </row>
    <row r="39" spans="1:25" s="25" customFormat="1" ht="27.75" customHeight="1">
      <c r="A39" s="59"/>
      <c r="B39" s="1437" t="s">
        <v>373</v>
      </c>
      <c r="C39" s="1437"/>
      <c r="D39" s="1437"/>
      <c r="E39" s="1437"/>
      <c r="F39" s="1437"/>
      <c r="G39" s="1437"/>
      <c r="H39" s="1437"/>
      <c r="I39" s="1437"/>
      <c r="J39" s="1437"/>
      <c r="K39" s="1437"/>
      <c r="L39" s="1437"/>
      <c r="M39" s="1437"/>
      <c r="N39" s="1437"/>
      <c r="O39" s="1437"/>
      <c r="P39" s="1437"/>
      <c r="Q39" s="1437"/>
      <c r="R39" s="1437"/>
      <c r="S39" s="1437"/>
      <c r="T39" s="63"/>
      <c r="U39" s="63"/>
      <c r="X39" s="63"/>
      <c r="Y39" s="63"/>
    </row>
    <row r="40" spans="1:25" s="25" customFormat="1" ht="34.5" customHeight="1">
      <c r="A40" s="59"/>
      <c r="B40" s="1437" t="s">
        <v>374</v>
      </c>
      <c r="C40" s="1437"/>
      <c r="D40" s="1437"/>
      <c r="E40" s="1437"/>
      <c r="F40" s="1437"/>
      <c r="G40" s="1437"/>
      <c r="H40" s="1437"/>
      <c r="I40" s="1437"/>
      <c r="J40" s="1437"/>
      <c r="K40" s="1437"/>
      <c r="L40" s="1437"/>
      <c r="M40" s="1437"/>
      <c r="N40" s="1437"/>
      <c r="O40" s="1437"/>
      <c r="P40" s="1437"/>
      <c r="Q40" s="1437"/>
      <c r="R40" s="1437"/>
      <c r="S40" s="1437"/>
      <c r="T40" s="63"/>
      <c r="U40" s="63"/>
      <c r="X40" s="63"/>
      <c r="Y40" s="63"/>
    </row>
    <row r="41" spans="1:25" s="25" customFormat="1" ht="31.5" customHeight="1">
      <c r="A41" s="59"/>
      <c r="B41" s="1437" t="s">
        <v>375</v>
      </c>
      <c r="C41" s="1437"/>
      <c r="D41" s="1437"/>
      <c r="E41" s="1437"/>
      <c r="F41" s="1437"/>
      <c r="G41" s="1437"/>
      <c r="H41" s="1437"/>
      <c r="I41" s="1437"/>
      <c r="J41" s="1437"/>
      <c r="K41" s="1437"/>
      <c r="L41" s="1437"/>
      <c r="M41" s="1437"/>
      <c r="N41" s="1437"/>
      <c r="O41" s="1437"/>
      <c r="P41" s="1437"/>
      <c r="Q41" s="1437"/>
      <c r="R41" s="1437"/>
      <c r="S41" s="1437"/>
      <c r="T41" s="63"/>
      <c r="U41" s="63"/>
      <c r="X41" s="63"/>
      <c r="Y41" s="63"/>
    </row>
    <row r="42" spans="1:25" s="25" customFormat="1" ht="33.75" customHeight="1">
      <c r="A42" s="59"/>
      <c r="B42" s="1437" t="s">
        <v>376</v>
      </c>
      <c r="C42" s="1437"/>
      <c r="D42" s="1437"/>
      <c r="E42" s="1437"/>
      <c r="F42" s="1437"/>
      <c r="G42" s="1437"/>
      <c r="H42" s="1437"/>
      <c r="I42" s="1437"/>
      <c r="J42" s="1437"/>
      <c r="K42" s="1437"/>
      <c r="L42" s="1437"/>
      <c r="M42" s="1437"/>
      <c r="N42" s="1437"/>
      <c r="O42" s="1437"/>
      <c r="P42" s="1437"/>
      <c r="Q42" s="1437"/>
      <c r="R42" s="1437"/>
      <c r="S42" s="1437"/>
      <c r="T42" s="63"/>
      <c r="U42" s="63"/>
      <c r="X42" s="63"/>
      <c r="Y42" s="63"/>
    </row>
    <row r="43" spans="1:25" s="25" customFormat="1" ht="39.75" customHeight="1">
      <c r="A43" s="59"/>
      <c r="B43" s="1437" t="s">
        <v>377</v>
      </c>
      <c r="C43" s="1437"/>
      <c r="D43" s="1437"/>
      <c r="E43" s="1437"/>
      <c r="F43" s="1437"/>
      <c r="G43" s="1437"/>
      <c r="H43" s="1437"/>
      <c r="I43" s="1437"/>
      <c r="J43" s="1437"/>
      <c r="K43" s="1437"/>
      <c r="L43" s="1437"/>
      <c r="M43" s="1437"/>
      <c r="N43" s="1437"/>
      <c r="O43" s="1437"/>
      <c r="P43" s="1437"/>
      <c r="Q43" s="1437"/>
      <c r="R43" s="1437"/>
      <c r="S43" s="1437"/>
      <c r="T43" s="63"/>
      <c r="U43" s="63"/>
      <c r="X43" s="63"/>
      <c r="Y43" s="63"/>
    </row>
    <row r="44" spans="1:25" s="25" customFormat="1" ht="37.5" customHeight="1">
      <c r="A44" s="59"/>
      <c r="B44" s="1437" t="s">
        <v>378</v>
      </c>
      <c r="C44" s="1437"/>
      <c r="D44" s="1437"/>
      <c r="E44" s="1437"/>
      <c r="F44" s="1437"/>
      <c r="G44" s="1437"/>
      <c r="H44" s="1437"/>
      <c r="I44" s="1437"/>
      <c r="J44" s="1437"/>
      <c r="K44" s="1437"/>
      <c r="L44" s="1437"/>
      <c r="M44" s="1437"/>
      <c r="N44" s="1437"/>
      <c r="O44" s="1437"/>
      <c r="P44" s="1437"/>
      <c r="Q44" s="1437"/>
      <c r="R44" s="1437"/>
      <c r="S44" s="1437"/>
      <c r="T44" s="63"/>
      <c r="U44" s="63"/>
      <c r="X44" s="63"/>
      <c r="Y44" s="63"/>
    </row>
    <row r="45" spans="1:25" s="25" customFormat="1" ht="28.5" customHeight="1">
      <c r="A45" s="59"/>
      <c r="B45" s="1437" t="s">
        <v>379</v>
      </c>
      <c r="C45" s="1437"/>
      <c r="D45" s="1437"/>
      <c r="E45" s="1437"/>
      <c r="F45" s="1437"/>
      <c r="G45" s="1437"/>
      <c r="H45" s="1437"/>
      <c r="I45" s="1437"/>
      <c r="J45" s="1437"/>
      <c r="K45" s="1437"/>
      <c r="L45" s="1437"/>
      <c r="M45" s="1437"/>
      <c r="N45" s="1437"/>
      <c r="O45" s="1437"/>
      <c r="P45" s="1437"/>
      <c r="Q45" s="1437"/>
      <c r="R45" s="1437"/>
      <c r="S45" s="1437"/>
      <c r="T45" s="63"/>
      <c r="U45" s="63"/>
      <c r="X45" s="63"/>
      <c r="Y45" s="63"/>
    </row>
    <row r="46" spans="1:25" s="25" customFormat="1" ht="28.5" customHeight="1">
      <c r="A46" s="59"/>
      <c r="B46" s="1437" t="s">
        <v>380</v>
      </c>
      <c r="C46" s="1437"/>
      <c r="D46" s="1437"/>
      <c r="E46" s="1437"/>
      <c r="F46" s="1437"/>
      <c r="G46" s="1437"/>
      <c r="H46" s="1437"/>
      <c r="I46" s="1437"/>
      <c r="J46" s="1437"/>
      <c r="K46" s="1437"/>
      <c r="L46" s="1437"/>
      <c r="M46" s="1437"/>
      <c r="N46" s="1437"/>
      <c r="O46" s="1437"/>
      <c r="P46" s="1437"/>
      <c r="Q46" s="1437"/>
      <c r="R46" s="1437"/>
      <c r="S46" s="1437"/>
      <c r="T46" s="63"/>
      <c r="U46" s="63"/>
      <c r="X46" s="63"/>
      <c r="Y46" s="63"/>
    </row>
    <row r="47" spans="1:25" s="25" customFormat="1" ht="36.75" customHeight="1">
      <c r="A47" s="59"/>
      <c r="B47" s="1437" t="s">
        <v>381</v>
      </c>
      <c r="C47" s="1437"/>
      <c r="D47" s="1437"/>
      <c r="E47" s="1437"/>
      <c r="F47" s="1437"/>
      <c r="G47" s="1437"/>
      <c r="H47" s="1437"/>
      <c r="I47" s="1437"/>
      <c r="J47" s="1437"/>
      <c r="K47" s="1437"/>
      <c r="L47" s="1437"/>
      <c r="M47" s="1437"/>
      <c r="N47" s="1437"/>
      <c r="O47" s="1437"/>
      <c r="P47" s="1437"/>
      <c r="Q47" s="1437"/>
      <c r="R47" s="1437"/>
      <c r="S47" s="1437"/>
      <c r="T47" s="63"/>
      <c r="U47" s="63"/>
      <c r="X47" s="63"/>
      <c r="Y47" s="63"/>
    </row>
    <row r="48" spans="1:25" s="25" customFormat="1" ht="43.5" customHeight="1">
      <c r="A48" s="59"/>
      <c r="B48" s="1437" t="s">
        <v>382</v>
      </c>
      <c r="C48" s="1437"/>
      <c r="D48" s="1437"/>
      <c r="E48" s="1437"/>
      <c r="F48" s="1437"/>
      <c r="G48" s="1437"/>
      <c r="H48" s="1437"/>
      <c r="I48" s="1437"/>
      <c r="J48" s="1437"/>
      <c r="K48" s="1437"/>
      <c r="L48" s="1437"/>
      <c r="M48" s="1437"/>
      <c r="N48" s="1437"/>
      <c r="O48" s="1437"/>
      <c r="P48" s="1437"/>
      <c r="Q48" s="1437"/>
      <c r="R48" s="1437"/>
      <c r="S48" s="1437"/>
      <c r="T48" s="63"/>
      <c r="U48" s="63"/>
      <c r="X48" s="63"/>
      <c r="Y48" s="63"/>
    </row>
    <row r="49" spans="1:25" s="25" customFormat="1" ht="28.5" customHeight="1">
      <c r="A49" s="59"/>
      <c r="B49" s="1437" t="s">
        <v>383</v>
      </c>
      <c r="C49" s="1437"/>
      <c r="D49" s="1437"/>
      <c r="E49" s="1437"/>
      <c r="F49" s="1437"/>
      <c r="G49" s="1437"/>
      <c r="H49" s="1437"/>
      <c r="I49" s="1437"/>
      <c r="J49" s="1437"/>
      <c r="K49" s="1437"/>
      <c r="L49" s="1437"/>
      <c r="M49" s="1437"/>
      <c r="N49" s="1437"/>
      <c r="O49" s="1437"/>
      <c r="P49" s="1437"/>
      <c r="Q49" s="1437"/>
      <c r="R49" s="1437"/>
      <c r="S49" s="1437"/>
      <c r="T49" s="63"/>
      <c r="U49" s="63"/>
      <c r="X49" s="63"/>
      <c r="Y49" s="63"/>
    </row>
    <row r="50" spans="1:25" s="25" customFormat="1" ht="30.75" customHeight="1">
      <c r="A50" s="59"/>
      <c r="B50" s="1437" t="s">
        <v>384</v>
      </c>
      <c r="C50" s="1437"/>
      <c r="D50" s="1437"/>
      <c r="E50" s="1437"/>
      <c r="F50" s="1437"/>
      <c r="G50" s="1437"/>
      <c r="H50" s="1437"/>
      <c r="I50" s="1437"/>
      <c r="J50" s="1437"/>
      <c r="K50" s="1437"/>
      <c r="L50" s="1437"/>
      <c r="M50" s="1437"/>
      <c r="N50" s="1437"/>
      <c r="O50" s="1437"/>
      <c r="P50" s="1437"/>
      <c r="Q50" s="1437"/>
      <c r="R50" s="1437"/>
      <c r="S50" s="1437"/>
      <c r="T50" s="63"/>
      <c r="U50" s="63"/>
      <c r="X50" s="63"/>
      <c r="Y50" s="63"/>
    </row>
    <row r="51" spans="1:30" s="25" customFormat="1" ht="26.25" customHeight="1">
      <c r="A51" s="59"/>
      <c r="B51" s="1437" t="s">
        <v>385</v>
      </c>
      <c r="C51" s="1437"/>
      <c r="D51" s="1437"/>
      <c r="E51" s="1437"/>
      <c r="F51" s="1437"/>
      <c r="G51" s="1437"/>
      <c r="H51" s="1437"/>
      <c r="I51" s="1437"/>
      <c r="J51" s="1437"/>
      <c r="K51" s="1437"/>
      <c r="L51" s="1437"/>
      <c r="M51" s="1437"/>
      <c r="N51" s="1437"/>
      <c r="O51" s="1437"/>
      <c r="P51" s="1437"/>
      <c r="Q51" s="1437"/>
      <c r="R51" s="1437"/>
      <c r="S51" s="1437"/>
      <c r="T51" s="62"/>
      <c r="U51" s="62"/>
      <c r="V51" s="62"/>
      <c r="W51" s="62"/>
      <c r="X51" s="62"/>
      <c r="Y51" s="62"/>
      <c r="Z51" s="62"/>
      <c r="AA51" s="62"/>
      <c r="AB51" s="61"/>
      <c r="AC51" s="61"/>
      <c r="AD51" s="63"/>
    </row>
    <row r="52" spans="1:30" s="25" customFormat="1" ht="29.25" customHeight="1">
      <c r="A52" s="59"/>
      <c r="B52" s="1437" t="s">
        <v>386</v>
      </c>
      <c r="C52" s="1437"/>
      <c r="D52" s="1437"/>
      <c r="E52" s="1437"/>
      <c r="F52" s="1437"/>
      <c r="G52" s="1437"/>
      <c r="H52" s="1437"/>
      <c r="I52" s="1437"/>
      <c r="J52" s="1437"/>
      <c r="K52" s="1437"/>
      <c r="L52" s="1437"/>
      <c r="M52" s="1437"/>
      <c r="N52" s="1437"/>
      <c r="O52" s="1437"/>
      <c r="P52" s="1437"/>
      <c r="Q52" s="1437"/>
      <c r="R52" s="1437"/>
      <c r="S52" s="1437"/>
      <c r="AB52" s="61"/>
      <c r="AC52" s="61"/>
      <c r="AD52" s="63"/>
    </row>
    <row r="53" spans="1:30" s="25" customFormat="1" ht="27" customHeight="1">
      <c r="A53" s="59"/>
      <c r="B53" s="1437" t="s">
        <v>387</v>
      </c>
      <c r="C53" s="1437"/>
      <c r="D53" s="1437"/>
      <c r="E53" s="1437"/>
      <c r="F53" s="1437"/>
      <c r="G53" s="1437"/>
      <c r="H53" s="1437"/>
      <c r="I53" s="1437"/>
      <c r="J53" s="1437"/>
      <c r="K53" s="1437"/>
      <c r="L53" s="1437"/>
      <c r="M53" s="1437"/>
      <c r="N53" s="1437"/>
      <c r="O53" s="1437"/>
      <c r="P53" s="1437"/>
      <c r="Q53" s="1437"/>
      <c r="R53" s="1437"/>
      <c r="S53" s="1437"/>
      <c r="AB53" s="61"/>
      <c r="AC53" s="61"/>
      <c r="AD53" s="63"/>
    </row>
    <row r="54" spans="1:30" s="25" customFormat="1" ht="27" customHeight="1">
      <c r="A54" s="59"/>
      <c r="B54" s="25" t="s">
        <v>388</v>
      </c>
      <c r="AB54" s="61"/>
      <c r="AC54" s="61"/>
      <c r="AD54" s="63"/>
    </row>
    <row r="55" spans="1:30" s="25" customFormat="1" ht="30.75" customHeight="1">
      <c r="A55" s="59"/>
      <c r="B55" s="1437" t="s">
        <v>389</v>
      </c>
      <c r="C55" s="1437"/>
      <c r="D55" s="1437"/>
      <c r="E55" s="1437"/>
      <c r="F55" s="1437"/>
      <c r="G55" s="1437"/>
      <c r="H55" s="1437"/>
      <c r="I55" s="1437"/>
      <c r="J55" s="1437"/>
      <c r="K55" s="1437"/>
      <c r="L55" s="1437"/>
      <c r="M55" s="1437"/>
      <c r="N55" s="1437"/>
      <c r="O55" s="1437"/>
      <c r="P55" s="1437"/>
      <c r="Q55" s="1437"/>
      <c r="R55" s="1437"/>
      <c r="S55" s="1437"/>
      <c r="T55" s="62"/>
      <c r="U55" s="62"/>
      <c r="V55" s="62"/>
      <c r="W55" s="62"/>
      <c r="X55" s="62"/>
      <c r="Y55" s="62"/>
      <c r="Z55" s="62"/>
      <c r="AA55" s="62"/>
      <c r="AB55" s="61"/>
      <c r="AC55" s="61"/>
      <c r="AD55" s="63"/>
    </row>
    <row r="56" spans="1:30" s="25" customFormat="1" ht="29.25" customHeight="1">
      <c r="A56" s="59"/>
      <c r="B56" s="25" t="s">
        <v>390</v>
      </c>
      <c r="AB56" s="61"/>
      <c r="AC56" s="61"/>
      <c r="AD56" s="63"/>
    </row>
    <row r="57" spans="1:30" s="25" customFormat="1" ht="27" customHeight="1">
      <c r="A57" s="59"/>
      <c r="B57" s="1437" t="s">
        <v>391</v>
      </c>
      <c r="C57" s="1437"/>
      <c r="D57" s="1437"/>
      <c r="E57" s="1437"/>
      <c r="F57" s="1437"/>
      <c r="G57" s="1437"/>
      <c r="H57" s="1437"/>
      <c r="I57" s="1437"/>
      <c r="J57" s="1437"/>
      <c r="K57" s="1437"/>
      <c r="L57" s="1437"/>
      <c r="M57" s="1437"/>
      <c r="N57" s="1437"/>
      <c r="O57" s="1437"/>
      <c r="P57" s="1437"/>
      <c r="Q57" s="1437"/>
      <c r="R57" s="1437"/>
      <c r="S57" s="1437"/>
      <c r="AB57" s="61"/>
      <c r="AC57" s="61"/>
      <c r="AD57" s="63"/>
    </row>
    <row r="58" spans="1:30" s="25" customFormat="1" ht="24.75" customHeight="1">
      <c r="A58" s="59"/>
      <c r="B58" s="25" t="s">
        <v>392</v>
      </c>
      <c r="AB58" s="61"/>
      <c r="AC58" s="61"/>
      <c r="AD58" s="63"/>
    </row>
    <row r="59" spans="1:30" s="25" customFormat="1" ht="24.75" customHeight="1">
      <c r="A59" s="59"/>
      <c r="B59" s="25" t="s">
        <v>393</v>
      </c>
      <c r="AB59" s="61"/>
      <c r="AC59" s="61"/>
      <c r="AD59" s="63"/>
    </row>
    <row r="60" spans="1:30" s="25" customFormat="1" ht="24.75" customHeight="1">
      <c r="A60" s="59"/>
      <c r="B60" s="25" t="s">
        <v>394</v>
      </c>
      <c r="AB60" s="61"/>
      <c r="AC60" s="61"/>
      <c r="AD60" s="63"/>
    </row>
    <row r="61" spans="1:29" ht="27" customHeight="1">
      <c r="A61" s="59"/>
      <c r="B61" s="1437" t="s">
        <v>395</v>
      </c>
      <c r="C61" s="1437"/>
      <c r="D61" s="1437"/>
      <c r="E61" s="1437"/>
      <c r="F61" s="1437"/>
      <c r="G61" s="1437"/>
      <c r="H61" s="1437"/>
      <c r="I61" s="1437"/>
      <c r="J61" s="1437"/>
      <c r="K61" s="1437"/>
      <c r="L61" s="1437"/>
      <c r="M61" s="1437"/>
      <c r="N61" s="1437"/>
      <c r="O61" s="1437"/>
      <c r="P61" s="1437"/>
      <c r="Q61" s="1437"/>
      <c r="R61" s="1437"/>
      <c r="S61" s="1437"/>
      <c r="T61" s="1437"/>
      <c r="U61" s="1437"/>
      <c r="V61" s="1437"/>
      <c r="W61" s="1437"/>
      <c r="X61" s="1437"/>
      <c r="Y61" s="1437"/>
      <c r="Z61" s="1437"/>
      <c r="AA61" s="1437"/>
      <c r="AB61" s="1437"/>
      <c r="AC61" s="1437"/>
    </row>
    <row r="62" spans="1:29" ht="19.5" customHeight="1">
      <c r="A62" s="59"/>
      <c r="B62" s="1437"/>
      <c r="C62" s="1437"/>
      <c r="D62" s="1437"/>
      <c r="E62" s="1437"/>
      <c r="F62" s="1437"/>
      <c r="G62" s="1437"/>
      <c r="H62" s="1437"/>
      <c r="I62" s="1437"/>
      <c r="J62" s="1437"/>
      <c r="K62" s="1437"/>
      <c r="L62" s="1437"/>
      <c r="M62" s="1437"/>
      <c r="N62" s="1437"/>
      <c r="O62" s="1437"/>
      <c r="P62" s="1437"/>
      <c r="Q62" s="1437"/>
      <c r="R62" s="1437"/>
      <c r="S62" s="1437"/>
      <c r="T62" s="1437"/>
      <c r="U62" s="1437"/>
      <c r="V62" s="1437"/>
      <c r="W62" s="1437"/>
      <c r="X62" s="1437"/>
      <c r="Y62" s="1437"/>
      <c r="Z62" s="1437"/>
      <c r="AA62" s="1437"/>
      <c r="AB62" s="1437"/>
      <c r="AC62" s="1437"/>
    </row>
    <row r="63" spans="1:29" ht="19.5" customHeight="1">
      <c r="A63" s="59"/>
      <c r="B63" s="61"/>
      <c r="C63" s="62"/>
      <c r="D63" s="62"/>
      <c r="E63" s="62"/>
      <c r="F63" s="62"/>
      <c r="G63" s="63"/>
      <c r="H63" s="63"/>
      <c r="I63" s="63"/>
      <c r="J63" s="63"/>
      <c r="K63" s="63"/>
      <c r="L63" s="63"/>
      <c r="M63" s="63"/>
      <c r="N63" s="63"/>
      <c r="O63" s="63"/>
      <c r="P63" s="63"/>
      <c r="Q63" s="63"/>
      <c r="R63" s="63"/>
      <c r="S63" s="63"/>
      <c r="T63" s="63"/>
      <c r="U63" s="63"/>
      <c r="V63" s="63"/>
      <c r="W63" s="63"/>
      <c r="X63" s="63"/>
      <c r="Y63" s="63"/>
      <c r="Z63" s="63"/>
      <c r="AA63" s="63"/>
      <c r="AB63" s="63"/>
      <c r="AC63" s="63"/>
    </row>
    <row r="64" spans="1:29" ht="19.5" customHeight="1">
      <c r="A64" s="59"/>
      <c r="B64" s="61"/>
      <c r="C64" s="62"/>
      <c r="D64" s="62"/>
      <c r="E64" s="62"/>
      <c r="F64" s="62"/>
      <c r="G64" s="63"/>
      <c r="H64" s="63"/>
      <c r="I64" s="63"/>
      <c r="J64" s="63"/>
      <c r="K64" s="63"/>
      <c r="L64" s="63"/>
      <c r="M64" s="63"/>
      <c r="N64" s="63"/>
      <c r="O64" s="63"/>
      <c r="P64" s="63"/>
      <c r="Q64" s="63"/>
      <c r="R64" s="63"/>
      <c r="S64" s="63"/>
      <c r="T64" s="63"/>
      <c r="U64" s="63"/>
      <c r="V64" s="63"/>
      <c r="W64" s="63"/>
      <c r="X64" s="63"/>
      <c r="Y64" s="63"/>
      <c r="Z64" s="63"/>
      <c r="AA64" s="63"/>
      <c r="AB64" s="63"/>
      <c r="AC64" s="63"/>
    </row>
    <row r="65" spans="1:29" ht="19.5" customHeight="1">
      <c r="A65" s="59"/>
      <c r="B65" s="61"/>
      <c r="C65" s="62"/>
      <c r="D65" s="62"/>
      <c r="E65" s="62"/>
      <c r="F65" s="62"/>
      <c r="G65" s="63"/>
      <c r="H65" s="63"/>
      <c r="I65" s="63"/>
      <c r="J65" s="63"/>
      <c r="K65" s="63"/>
      <c r="L65" s="63"/>
      <c r="M65" s="63"/>
      <c r="N65" s="63"/>
      <c r="O65" s="63"/>
      <c r="P65" s="63"/>
      <c r="Q65" s="63"/>
      <c r="R65" s="63"/>
      <c r="S65" s="63"/>
      <c r="T65" s="63"/>
      <c r="U65" s="63"/>
      <c r="V65" s="63"/>
      <c r="W65" s="63"/>
      <c r="X65" s="63"/>
      <c r="Y65" s="63"/>
      <c r="Z65" s="63"/>
      <c r="AA65" s="63"/>
      <c r="AB65" s="63"/>
      <c r="AC65" s="63"/>
    </row>
    <row r="66" spans="1:29" ht="19.5" customHeight="1">
      <c r="A66" s="59"/>
      <c r="B66" s="61"/>
      <c r="C66" s="62"/>
      <c r="D66" s="62"/>
      <c r="E66" s="62"/>
      <c r="F66" s="62"/>
      <c r="G66" s="63"/>
      <c r="H66" s="63"/>
      <c r="I66" s="63"/>
      <c r="J66" s="63"/>
      <c r="K66" s="63"/>
      <c r="L66" s="63"/>
      <c r="M66" s="63"/>
      <c r="N66" s="63"/>
      <c r="O66" s="63"/>
      <c r="P66" s="63"/>
      <c r="Q66" s="63"/>
      <c r="R66" s="63"/>
      <c r="S66" s="63"/>
      <c r="T66" s="63"/>
      <c r="U66" s="63"/>
      <c r="V66" s="63"/>
      <c r="W66" s="63"/>
      <c r="X66" s="63"/>
      <c r="Y66" s="63"/>
      <c r="Z66" s="63"/>
      <c r="AA66" s="63"/>
      <c r="AB66" s="63"/>
      <c r="AC66" s="63"/>
    </row>
    <row r="67" spans="1:29" ht="19.5" customHeight="1">
      <c r="A67" s="59"/>
      <c r="B67" s="61"/>
      <c r="C67" s="62"/>
      <c r="D67" s="62"/>
      <c r="E67" s="62"/>
      <c r="F67" s="62"/>
      <c r="G67" s="63"/>
      <c r="H67" s="63"/>
      <c r="I67" s="63"/>
      <c r="J67" s="63"/>
      <c r="K67" s="63"/>
      <c r="L67" s="63"/>
      <c r="M67" s="63"/>
      <c r="N67" s="63"/>
      <c r="O67" s="63"/>
      <c r="P67" s="63"/>
      <c r="Q67" s="63"/>
      <c r="R67" s="63"/>
      <c r="S67" s="63"/>
      <c r="T67" s="63"/>
      <c r="U67" s="63"/>
      <c r="V67" s="63"/>
      <c r="W67" s="63"/>
      <c r="X67" s="63"/>
      <c r="Y67" s="63"/>
      <c r="Z67" s="63"/>
      <c r="AA67" s="63"/>
      <c r="AB67" s="63"/>
      <c r="AC67" s="63"/>
    </row>
    <row r="68" spans="1:29" ht="19.5" customHeight="1">
      <c r="A68" s="59"/>
      <c r="B68" s="61"/>
      <c r="C68" s="62"/>
      <c r="D68" s="62"/>
      <c r="E68" s="62"/>
      <c r="F68" s="62"/>
      <c r="G68" s="63"/>
      <c r="H68" s="63"/>
      <c r="I68" s="63"/>
      <c r="J68" s="63"/>
      <c r="K68" s="63"/>
      <c r="L68" s="63"/>
      <c r="M68" s="63"/>
      <c r="N68" s="63"/>
      <c r="O68" s="63"/>
      <c r="P68" s="63"/>
      <c r="Q68" s="63"/>
      <c r="R68" s="63"/>
      <c r="S68" s="63"/>
      <c r="T68" s="63"/>
      <c r="U68" s="63"/>
      <c r="V68" s="63"/>
      <c r="W68" s="63"/>
      <c r="X68" s="63"/>
      <c r="Y68" s="63"/>
      <c r="Z68" s="63"/>
      <c r="AA68" s="63"/>
      <c r="AB68" s="63"/>
      <c r="AC68" s="63"/>
    </row>
    <row r="69" spans="1:29" ht="19.5" customHeight="1">
      <c r="A69" s="59"/>
      <c r="B69" s="61"/>
      <c r="C69" s="62"/>
      <c r="D69" s="62"/>
      <c r="E69" s="62"/>
      <c r="F69" s="62"/>
      <c r="G69" s="63"/>
      <c r="H69" s="63"/>
      <c r="I69" s="63"/>
      <c r="J69" s="63"/>
      <c r="K69" s="63"/>
      <c r="L69" s="63"/>
      <c r="M69" s="63"/>
      <c r="N69" s="63"/>
      <c r="O69" s="63"/>
      <c r="P69" s="63"/>
      <c r="Q69" s="63"/>
      <c r="R69" s="63"/>
      <c r="S69" s="63"/>
      <c r="T69" s="63"/>
      <c r="U69" s="63"/>
      <c r="V69" s="63"/>
      <c r="W69" s="63"/>
      <c r="X69" s="63"/>
      <c r="Y69" s="63"/>
      <c r="Z69" s="63"/>
      <c r="AA69" s="63"/>
      <c r="AB69" s="63"/>
      <c r="AC69" s="63"/>
    </row>
    <row r="70" spans="1:29" ht="19.5" customHeight="1">
      <c r="A70" s="59"/>
      <c r="B70" s="61"/>
      <c r="C70" s="62"/>
      <c r="D70" s="62"/>
      <c r="E70" s="62"/>
      <c r="F70" s="62"/>
      <c r="G70" s="63"/>
      <c r="H70" s="63"/>
      <c r="I70" s="63"/>
      <c r="J70" s="63"/>
      <c r="K70" s="63"/>
      <c r="L70" s="63"/>
      <c r="M70" s="63"/>
      <c r="N70" s="63"/>
      <c r="O70" s="63"/>
      <c r="P70" s="63"/>
      <c r="Q70" s="63"/>
      <c r="R70" s="63"/>
      <c r="S70" s="63"/>
      <c r="T70" s="63"/>
      <c r="U70" s="63"/>
      <c r="V70" s="63"/>
      <c r="W70" s="63"/>
      <c r="X70" s="63"/>
      <c r="Y70" s="63"/>
      <c r="Z70" s="63"/>
      <c r="AA70" s="63"/>
      <c r="AB70" s="63"/>
      <c r="AC70" s="63"/>
    </row>
    <row r="71" spans="1:29" ht="19.5" customHeight="1">
      <c r="A71" s="59"/>
      <c r="B71" s="61"/>
      <c r="C71" s="62"/>
      <c r="D71" s="62"/>
      <c r="E71" s="62"/>
      <c r="F71" s="62"/>
      <c r="G71" s="63"/>
      <c r="H71" s="63"/>
      <c r="I71" s="63"/>
      <c r="J71" s="63"/>
      <c r="K71" s="63"/>
      <c r="L71" s="63"/>
      <c r="M71" s="63"/>
      <c r="N71" s="63"/>
      <c r="O71" s="63"/>
      <c r="P71" s="63"/>
      <c r="Q71" s="63"/>
      <c r="R71" s="63"/>
      <c r="S71" s="63"/>
      <c r="T71" s="63"/>
      <c r="U71" s="63"/>
      <c r="V71" s="63"/>
      <c r="W71" s="63"/>
      <c r="X71" s="63"/>
      <c r="Y71" s="63"/>
      <c r="Z71" s="63"/>
      <c r="AA71" s="63"/>
      <c r="AB71" s="63"/>
      <c r="AC71" s="63"/>
    </row>
    <row r="72" spans="1:29" ht="19.5" customHeight="1">
      <c r="A72" s="59"/>
      <c r="B72" s="61"/>
      <c r="C72" s="62"/>
      <c r="D72" s="62"/>
      <c r="E72" s="62"/>
      <c r="F72" s="62"/>
      <c r="G72" s="63"/>
      <c r="H72" s="63"/>
      <c r="I72" s="63"/>
      <c r="J72" s="63"/>
      <c r="K72" s="63"/>
      <c r="L72" s="63"/>
      <c r="M72" s="63"/>
      <c r="N72" s="63"/>
      <c r="O72" s="63"/>
      <c r="P72" s="63"/>
      <c r="Q72" s="63"/>
      <c r="R72" s="63"/>
      <c r="S72" s="63"/>
      <c r="T72" s="63"/>
      <c r="U72" s="63"/>
      <c r="V72" s="63"/>
      <c r="W72" s="63"/>
      <c r="X72" s="63"/>
      <c r="Y72" s="63"/>
      <c r="Z72" s="63"/>
      <c r="AA72" s="63"/>
      <c r="AB72" s="63"/>
      <c r="AC72" s="63"/>
    </row>
    <row r="73" spans="1:29" ht="19.5" customHeight="1">
      <c r="A73" s="59"/>
      <c r="B73" s="61"/>
      <c r="C73" s="62"/>
      <c r="D73" s="62"/>
      <c r="E73" s="62"/>
      <c r="F73" s="62"/>
      <c r="G73" s="63"/>
      <c r="H73" s="63"/>
      <c r="I73" s="63"/>
      <c r="J73" s="63"/>
      <c r="K73" s="63"/>
      <c r="L73" s="63"/>
      <c r="M73" s="63"/>
      <c r="N73" s="63"/>
      <c r="O73" s="63"/>
      <c r="P73" s="63"/>
      <c r="Q73" s="63"/>
      <c r="R73" s="63"/>
      <c r="S73" s="63"/>
      <c r="T73" s="63"/>
      <c r="U73" s="63"/>
      <c r="V73" s="63"/>
      <c r="W73" s="63"/>
      <c r="X73" s="63"/>
      <c r="Y73" s="63"/>
      <c r="Z73" s="63"/>
      <c r="AA73" s="63"/>
      <c r="AB73" s="63"/>
      <c r="AC73" s="63"/>
    </row>
    <row r="74" spans="1:29" ht="19.5" customHeight="1">
      <c r="A74" s="59"/>
      <c r="B74" s="61"/>
      <c r="C74" s="62"/>
      <c r="D74" s="62"/>
      <c r="E74" s="62"/>
      <c r="F74" s="62"/>
      <c r="G74" s="63"/>
      <c r="H74" s="63"/>
      <c r="I74" s="63"/>
      <c r="J74" s="63"/>
      <c r="K74" s="63"/>
      <c r="L74" s="63"/>
      <c r="M74" s="63"/>
      <c r="N74" s="63"/>
      <c r="O74" s="63"/>
      <c r="P74" s="63"/>
      <c r="Q74" s="63"/>
      <c r="R74" s="63"/>
      <c r="S74" s="63"/>
      <c r="T74" s="63"/>
      <c r="U74" s="63"/>
      <c r="V74" s="63"/>
      <c r="W74" s="63"/>
      <c r="X74" s="63"/>
      <c r="Y74" s="63"/>
      <c r="Z74" s="63"/>
      <c r="AA74" s="63"/>
      <c r="AB74" s="63"/>
      <c r="AC74" s="63"/>
    </row>
    <row r="75" spans="1:29" ht="19.5" customHeight="1">
      <c r="A75" s="59"/>
      <c r="B75" s="61"/>
      <c r="C75" s="62"/>
      <c r="D75" s="62"/>
      <c r="E75" s="62"/>
      <c r="F75" s="62"/>
      <c r="G75" s="63"/>
      <c r="H75" s="63"/>
      <c r="I75" s="63"/>
      <c r="J75" s="63"/>
      <c r="K75" s="63"/>
      <c r="L75" s="63"/>
      <c r="M75" s="63"/>
      <c r="N75" s="63"/>
      <c r="O75" s="63"/>
      <c r="P75" s="63"/>
      <c r="Q75" s="63"/>
      <c r="R75" s="63"/>
      <c r="S75" s="63"/>
      <c r="T75" s="63"/>
      <c r="U75" s="63"/>
      <c r="V75" s="63"/>
      <c r="W75" s="63"/>
      <c r="X75" s="63"/>
      <c r="Y75" s="63"/>
      <c r="Z75" s="63"/>
      <c r="AA75" s="63"/>
      <c r="AB75" s="63"/>
      <c r="AC75" s="63"/>
    </row>
    <row r="76" spans="1:29" ht="19.5" customHeight="1">
      <c r="A76" s="59"/>
      <c r="B76" s="61"/>
      <c r="C76" s="62"/>
      <c r="D76" s="62"/>
      <c r="E76" s="62"/>
      <c r="F76" s="62"/>
      <c r="G76" s="63"/>
      <c r="H76" s="63"/>
      <c r="I76" s="63"/>
      <c r="J76" s="63"/>
      <c r="K76" s="63"/>
      <c r="L76" s="63"/>
      <c r="M76" s="63"/>
      <c r="N76" s="63"/>
      <c r="O76" s="63"/>
      <c r="P76" s="63"/>
      <c r="Q76" s="63"/>
      <c r="R76" s="63"/>
      <c r="S76" s="63"/>
      <c r="T76" s="63"/>
      <c r="U76" s="63"/>
      <c r="V76" s="63"/>
      <c r="W76" s="63"/>
      <c r="X76" s="63"/>
      <c r="Y76" s="63"/>
      <c r="Z76" s="63"/>
      <c r="AA76" s="63"/>
      <c r="AB76" s="63"/>
      <c r="AC76" s="63"/>
    </row>
    <row r="77" spans="1:29" ht="15.75">
      <c r="A77" s="59"/>
      <c r="B77" s="61"/>
      <c r="C77" s="62"/>
      <c r="D77" s="62"/>
      <c r="E77" s="62"/>
      <c r="F77" s="62"/>
      <c r="G77" s="63"/>
      <c r="H77" s="63"/>
      <c r="I77" s="63"/>
      <c r="J77" s="63"/>
      <c r="K77" s="63"/>
      <c r="L77" s="63"/>
      <c r="M77" s="63"/>
      <c r="N77" s="63"/>
      <c r="O77" s="63"/>
      <c r="P77" s="63"/>
      <c r="Q77" s="63"/>
      <c r="R77" s="63"/>
      <c r="S77" s="63"/>
      <c r="T77" s="63"/>
      <c r="U77" s="63"/>
      <c r="V77" s="63"/>
      <c r="W77" s="63"/>
      <c r="X77" s="63"/>
      <c r="Y77" s="63"/>
      <c r="Z77" s="63"/>
      <c r="AA77" s="63"/>
      <c r="AB77" s="63"/>
      <c r="AC77" s="63"/>
    </row>
    <row r="78" spans="1:29" ht="15.75">
      <c r="A78" s="59"/>
      <c r="B78" s="61"/>
      <c r="C78" s="62"/>
      <c r="D78" s="62"/>
      <c r="E78" s="62"/>
      <c r="F78" s="62"/>
      <c r="G78" s="63"/>
      <c r="H78" s="63"/>
      <c r="I78" s="63"/>
      <c r="J78" s="63"/>
      <c r="K78" s="63"/>
      <c r="L78" s="63"/>
      <c r="M78" s="63"/>
      <c r="N78" s="63"/>
      <c r="O78" s="63"/>
      <c r="P78" s="63"/>
      <c r="Q78" s="63"/>
      <c r="R78" s="63"/>
      <c r="S78" s="63"/>
      <c r="T78" s="63"/>
      <c r="U78" s="63"/>
      <c r="V78" s="63"/>
      <c r="W78" s="63"/>
      <c r="X78" s="63"/>
      <c r="Y78" s="63"/>
      <c r="Z78" s="63"/>
      <c r="AA78" s="63"/>
      <c r="AB78" s="63"/>
      <c r="AC78" s="63"/>
    </row>
    <row r="79" spans="1:29" ht="15.75">
      <c r="A79" s="59"/>
      <c r="B79" s="61"/>
      <c r="C79" s="62"/>
      <c r="D79" s="62"/>
      <c r="E79" s="62"/>
      <c r="F79" s="62"/>
      <c r="G79" s="63"/>
      <c r="H79" s="63"/>
      <c r="I79" s="63"/>
      <c r="J79" s="63"/>
      <c r="K79" s="63"/>
      <c r="L79" s="63"/>
      <c r="M79" s="63"/>
      <c r="N79" s="63"/>
      <c r="O79" s="63"/>
      <c r="P79" s="63"/>
      <c r="Q79" s="63"/>
      <c r="R79" s="63"/>
      <c r="S79" s="63"/>
      <c r="T79" s="63"/>
      <c r="U79" s="63"/>
      <c r="V79" s="63"/>
      <c r="W79" s="63"/>
      <c r="X79" s="63"/>
      <c r="Y79" s="63"/>
      <c r="Z79" s="63"/>
      <c r="AA79" s="63"/>
      <c r="AB79" s="63"/>
      <c r="AC79" s="63"/>
    </row>
    <row r="80" spans="1:29" ht="15.75">
      <c r="A80" s="59"/>
      <c r="B80" s="61"/>
      <c r="C80" s="62"/>
      <c r="D80" s="62"/>
      <c r="E80" s="62"/>
      <c r="F80" s="62"/>
      <c r="G80" s="63"/>
      <c r="H80" s="63"/>
      <c r="I80" s="63"/>
      <c r="J80" s="63"/>
      <c r="K80" s="63"/>
      <c r="L80" s="63"/>
      <c r="M80" s="63"/>
      <c r="N80" s="63"/>
      <c r="O80" s="63"/>
      <c r="P80" s="63"/>
      <c r="Q80" s="63"/>
      <c r="R80" s="63"/>
      <c r="S80" s="63"/>
      <c r="T80" s="63"/>
      <c r="U80" s="63"/>
      <c r="V80" s="63"/>
      <c r="W80" s="63"/>
      <c r="X80" s="63"/>
      <c r="Y80" s="63"/>
      <c r="Z80" s="63"/>
      <c r="AA80" s="63"/>
      <c r="AB80" s="63"/>
      <c r="AC80" s="63"/>
    </row>
    <row r="81" spans="1:29" ht="15.75">
      <c r="A81" s="59"/>
      <c r="B81" s="61"/>
      <c r="C81" s="62"/>
      <c r="D81" s="62"/>
      <c r="E81" s="62"/>
      <c r="F81" s="62"/>
      <c r="G81" s="63"/>
      <c r="H81" s="63"/>
      <c r="I81" s="63"/>
      <c r="J81" s="63"/>
      <c r="K81" s="63"/>
      <c r="L81" s="63"/>
      <c r="M81" s="63"/>
      <c r="N81" s="63"/>
      <c r="O81" s="63"/>
      <c r="P81" s="63"/>
      <c r="Q81" s="63"/>
      <c r="R81" s="63"/>
      <c r="S81" s="63"/>
      <c r="T81" s="63"/>
      <c r="U81" s="63"/>
      <c r="V81" s="63"/>
      <c r="W81" s="63"/>
      <c r="X81" s="63"/>
      <c r="Y81" s="63"/>
      <c r="Z81" s="63"/>
      <c r="AA81" s="63"/>
      <c r="AB81" s="63"/>
      <c r="AC81" s="63"/>
    </row>
    <row r="82" spans="1:29" ht="15.75">
      <c r="A82" s="59"/>
      <c r="B82" s="61"/>
      <c r="C82" s="62"/>
      <c r="D82" s="62"/>
      <c r="E82" s="62"/>
      <c r="F82" s="62"/>
      <c r="G82" s="63"/>
      <c r="H82" s="63"/>
      <c r="I82" s="63"/>
      <c r="J82" s="63"/>
      <c r="K82" s="63"/>
      <c r="L82" s="63"/>
      <c r="M82" s="63"/>
      <c r="N82" s="63"/>
      <c r="O82" s="63"/>
      <c r="P82" s="63"/>
      <c r="Q82" s="63"/>
      <c r="R82" s="63"/>
      <c r="S82" s="63"/>
      <c r="T82" s="63"/>
      <c r="U82" s="63"/>
      <c r="V82" s="63"/>
      <c r="W82" s="63"/>
      <c r="X82" s="63"/>
      <c r="Y82" s="63"/>
      <c r="Z82" s="63"/>
      <c r="AA82" s="63"/>
      <c r="AB82" s="63"/>
      <c r="AC82" s="63"/>
    </row>
    <row r="83" spans="1:29" ht="15.75">
      <c r="A83" s="59"/>
      <c r="B83" s="61"/>
      <c r="C83" s="62"/>
      <c r="D83" s="62"/>
      <c r="E83" s="62"/>
      <c r="F83" s="62"/>
      <c r="G83" s="63"/>
      <c r="H83" s="63"/>
      <c r="I83" s="63"/>
      <c r="J83" s="63"/>
      <c r="K83" s="63"/>
      <c r="L83" s="63"/>
      <c r="M83" s="63"/>
      <c r="N83" s="63"/>
      <c r="O83" s="63"/>
      <c r="P83" s="63"/>
      <c r="Q83" s="63"/>
      <c r="R83" s="63"/>
      <c r="S83" s="63"/>
      <c r="T83" s="63"/>
      <c r="U83" s="63"/>
      <c r="V83" s="63"/>
      <c r="W83" s="63"/>
      <c r="X83" s="63"/>
      <c r="Y83" s="63"/>
      <c r="Z83" s="63"/>
      <c r="AA83" s="63"/>
      <c r="AB83" s="63"/>
      <c r="AC83" s="63"/>
    </row>
    <row r="84" spans="1:29" ht="15.75">
      <c r="A84" s="59"/>
      <c r="B84" s="61"/>
      <c r="C84" s="62"/>
      <c r="D84" s="62"/>
      <c r="E84" s="62"/>
      <c r="F84" s="62"/>
      <c r="G84" s="63"/>
      <c r="H84" s="63"/>
      <c r="I84" s="63"/>
      <c r="J84" s="63"/>
      <c r="K84" s="63"/>
      <c r="L84" s="63"/>
      <c r="M84" s="63"/>
      <c r="N84" s="63"/>
      <c r="O84" s="63"/>
      <c r="P84" s="63"/>
      <c r="Q84" s="63"/>
      <c r="R84" s="63"/>
      <c r="S84" s="63"/>
      <c r="T84" s="63"/>
      <c r="U84" s="63"/>
      <c r="V84" s="63"/>
      <c r="W84" s="63"/>
      <c r="X84" s="63"/>
      <c r="Y84" s="63"/>
      <c r="Z84" s="63"/>
      <c r="AA84" s="63"/>
      <c r="AB84" s="63"/>
      <c r="AC84" s="63"/>
    </row>
    <row r="85" spans="1:29" ht="15.75">
      <c r="A85" s="59"/>
      <c r="B85" s="61"/>
      <c r="C85" s="62"/>
      <c r="D85" s="62"/>
      <c r="E85" s="62"/>
      <c r="F85" s="62"/>
      <c r="G85" s="63"/>
      <c r="H85" s="63"/>
      <c r="I85" s="63"/>
      <c r="J85" s="63"/>
      <c r="K85" s="63"/>
      <c r="L85" s="63"/>
      <c r="M85" s="63"/>
      <c r="N85" s="63"/>
      <c r="O85" s="63"/>
      <c r="P85" s="63"/>
      <c r="Q85" s="63"/>
      <c r="R85" s="63"/>
      <c r="S85" s="63"/>
      <c r="T85" s="63"/>
      <c r="U85" s="63"/>
      <c r="V85" s="63"/>
      <c r="W85" s="63"/>
      <c r="X85" s="63"/>
      <c r="Y85" s="63"/>
      <c r="Z85" s="63"/>
      <c r="AA85" s="63"/>
      <c r="AB85" s="63"/>
      <c r="AC85" s="63"/>
    </row>
    <row r="86" spans="1:29" ht="15.75">
      <c r="A86" s="59"/>
      <c r="B86" s="61"/>
      <c r="C86" s="62"/>
      <c r="D86" s="62"/>
      <c r="E86" s="62"/>
      <c r="F86" s="62"/>
      <c r="G86" s="63"/>
      <c r="H86" s="63"/>
      <c r="I86" s="63"/>
      <c r="J86" s="63"/>
      <c r="K86" s="63"/>
      <c r="L86" s="63"/>
      <c r="M86" s="63"/>
      <c r="N86" s="63"/>
      <c r="O86" s="63"/>
      <c r="P86" s="63"/>
      <c r="Q86" s="63"/>
      <c r="R86" s="63"/>
      <c r="S86" s="63"/>
      <c r="T86" s="63"/>
      <c r="U86" s="63"/>
      <c r="V86" s="63"/>
      <c r="W86" s="63"/>
      <c r="X86" s="63"/>
      <c r="Y86" s="63"/>
      <c r="Z86" s="63"/>
      <c r="AA86" s="63"/>
      <c r="AB86" s="63"/>
      <c r="AC86" s="63"/>
    </row>
    <row r="87" spans="1:29" ht="15.75">
      <c r="A87" s="59"/>
      <c r="B87" s="61"/>
      <c r="C87" s="62"/>
      <c r="D87" s="62"/>
      <c r="E87" s="62"/>
      <c r="F87" s="62"/>
      <c r="G87" s="63"/>
      <c r="H87" s="63"/>
      <c r="I87" s="63"/>
      <c r="J87" s="63"/>
      <c r="K87" s="63"/>
      <c r="L87" s="63"/>
      <c r="M87" s="63"/>
      <c r="N87" s="63"/>
      <c r="O87" s="63"/>
      <c r="P87" s="63"/>
      <c r="Q87" s="63"/>
      <c r="R87" s="63"/>
      <c r="S87" s="63"/>
      <c r="T87" s="63"/>
      <c r="U87" s="63"/>
      <c r="V87" s="63"/>
      <c r="W87" s="63"/>
      <c r="X87" s="63"/>
      <c r="Y87" s="63"/>
      <c r="Z87" s="63"/>
      <c r="AA87" s="63"/>
      <c r="AB87" s="63"/>
      <c r="AC87" s="63"/>
    </row>
    <row r="88" spans="1:29" ht="15.75">
      <c r="A88" s="59"/>
      <c r="B88" s="61"/>
      <c r="C88" s="62"/>
      <c r="D88" s="62"/>
      <c r="E88" s="62"/>
      <c r="F88" s="62"/>
      <c r="G88" s="63"/>
      <c r="H88" s="63"/>
      <c r="I88" s="63"/>
      <c r="J88" s="63"/>
      <c r="K88" s="63"/>
      <c r="L88" s="63"/>
      <c r="M88" s="63"/>
      <c r="N88" s="63"/>
      <c r="O88" s="63"/>
      <c r="P88" s="63"/>
      <c r="Q88" s="63"/>
      <c r="R88" s="63"/>
      <c r="S88" s="63"/>
      <c r="T88" s="63"/>
      <c r="U88" s="63"/>
      <c r="V88" s="63"/>
      <c r="W88" s="63"/>
      <c r="X88" s="63"/>
      <c r="Y88" s="63"/>
      <c r="Z88" s="63"/>
      <c r="AA88" s="63"/>
      <c r="AB88" s="63"/>
      <c r="AC88" s="63"/>
    </row>
    <row r="89" spans="1:29" ht="15.75">
      <c r="A89" s="59"/>
      <c r="B89" s="61"/>
      <c r="C89" s="62"/>
      <c r="D89" s="62"/>
      <c r="E89" s="62"/>
      <c r="F89" s="62"/>
      <c r="G89" s="63"/>
      <c r="H89" s="63"/>
      <c r="I89" s="63"/>
      <c r="J89" s="63"/>
      <c r="K89" s="63"/>
      <c r="L89" s="63"/>
      <c r="M89" s="63"/>
      <c r="N89" s="63"/>
      <c r="O89" s="63"/>
      <c r="P89" s="63"/>
      <c r="Q89" s="63"/>
      <c r="R89" s="63"/>
      <c r="S89" s="63"/>
      <c r="T89" s="63"/>
      <c r="U89" s="63"/>
      <c r="V89" s="63"/>
      <c r="W89" s="63"/>
      <c r="X89" s="63"/>
      <c r="Y89" s="63"/>
      <c r="Z89" s="63"/>
      <c r="AA89" s="63"/>
      <c r="AB89" s="63"/>
      <c r="AC89" s="63"/>
    </row>
    <row r="90" spans="1:29" ht="15.75">
      <c r="A90" s="59"/>
      <c r="B90" s="61"/>
      <c r="C90" s="62"/>
      <c r="D90" s="62"/>
      <c r="E90" s="62"/>
      <c r="F90" s="62"/>
      <c r="G90" s="63"/>
      <c r="H90" s="63"/>
      <c r="I90" s="63"/>
      <c r="J90" s="63"/>
      <c r="K90" s="63"/>
      <c r="L90" s="63"/>
      <c r="M90" s="63"/>
      <c r="N90" s="63"/>
      <c r="O90" s="63"/>
      <c r="P90" s="63"/>
      <c r="Q90" s="63"/>
      <c r="R90" s="63"/>
      <c r="S90" s="63"/>
      <c r="T90" s="63"/>
      <c r="U90" s="63"/>
      <c r="V90" s="63"/>
      <c r="W90" s="63"/>
      <c r="X90" s="63"/>
      <c r="Y90" s="63"/>
      <c r="Z90" s="63"/>
      <c r="AA90" s="63"/>
      <c r="AB90" s="63"/>
      <c r="AC90" s="63"/>
    </row>
    <row r="91" spans="1:29" ht="15.75">
      <c r="A91" s="59"/>
      <c r="B91" s="61"/>
      <c r="C91" s="62"/>
      <c r="D91" s="62"/>
      <c r="E91" s="62"/>
      <c r="F91" s="62"/>
      <c r="G91" s="63"/>
      <c r="H91" s="63"/>
      <c r="I91" s="63"/>
      <c r="J91" s="63"/>
      <c r="K91" s="63"/>
      <c r="L91" s="63"/>
      <c r="M91" s="63"/>
      <c r="N91" s="63"/>
      <c r="O91" s="63"/>
      <c r="P91" s="63"/>
      <c r="Q91" s="63"/>
      <c r="R91" s="63"/>
      <c r="S91" s="63"/>
      <c r="T91" s="63"/>
      <c r="U91" s="63"/>
      <c r="V91" s="63"/>
      <c r="W91" s="63"/>
      <c r="X91" s="63"/>
      <c r="Y91" s="63"/>
      <c r="Z91" s="63"/>
      <c r="AA91" s="63"/>
      <c r="AB91" s="63"/>
      <c r="AC91" s="63"/>
    </row>
    <row r="92" spans="1:29" ht="15.75">
      <c r="A92" s="59"/>
      <c r="B92" s="61"/>
      <c r="C92" s="62"/>
      <c r="D92" s="62"/>
      <c r="E92" s="62"/>
      <c r="F92" s="62"/>
      <c r="G92" s="63"/>
      <c r="H92" s="63"/>
      <c r="I92" s="63"/>
      <c r="J92" s="63"/>
      <c r="K92" s="63"/>
      <c r="L92" s="63"/>
      <c r="M92" s="63"/>
      <c r="N92" s="63"/>
      <c r="O92" s="63"/>
      <c r="P92" s="63"/>
      <c r="Q92" s="63"/>
      <c r="R92" s="63"/>
      <c r="S92" s="63"/>
      <c r="T92" s="63"/>
      <c r="U92" s="63"/>
      <c r="V92" s="63"/>
      <c r="W92" s="63"/>
      <c r="X92" s="63"/>
      <c r="Y92" s="63"/>
      <c r="Z92" s="63"/>
      <c r="AA92" s="63"/>
      <c r="AB92" s="63"/>
      <c r="AC92" s="63"/>
    </row>
    <row r="93" spans="1:29" ht="15.75">
      <c r="A93" s="59"/>
      <c r="B93" s="61"/>
      <c r="C93" s="62"/>
      <c r="D93" s="62"/>
      <c r="E93" s="62"/>
      <c r="F93" s="62"/>
      <c r="G93" s="63"/>
      <c r="H93" s="63"/>
      <c r="I93" s="63"/>
      <c r="J93" s="63"/>
      <c r="K93" s="63"/>
      <c r="L93" s="63"/>
      <c r="M93" s="63"/>
      <c r="N93" s="63"/>
      <c r="O93" s="63"/>
      <c r="P93" s="63"/>
      <c r="Q93" s="63"/>
      <c r="R93" s="63"/>
      <c r="S93" s="63"/>
      <c r="T93" s="63"/>
      <c r="U93" s="63"/>
      <c r="V93" s="63"/>
      <c r="W93" s="63"/>
      <c r="X93" s="63"/>
      <c r="Y93" s="63"/>
      <c r="Z93" s="63"/>
      <c r="AA93" s="63"/>
      <c r="AB93" s="63"/>
      <c r="AC93" s="63"/>
    </row>
    <row r="94" spans="1:29" ht="15.75">
      <c r="A94" s="59"/>
      <c r="B94" s="61"/>
      <c r="C94" s="62"/>
      <c r="D94" s="62"/>
      <c r="E94" s="62"/>
      <c r="F94" s="62"/>
      <c r="G94" s="63"/>
      <c r="H94" s="63"/>
      <c r="I94" s="63"/>
      <c r="J94" s="63"/>
      <c r="K94" s="63"/>
      <c r="L94" s="63"/>
      <c r="M94" s="63"/>
      <c r="N94" s="63"/>
      <c r="O94" s="63"/>
      <c r="P94" s="63"/>
      <c r="Q94" s="63"/>
      <c r="R94" s="63"/>
      <c r="S94" s="63"/>
      <c r="T94" s="63"/>
      <c r="U94" s="63"/>
      <c r="V94" s="63"/>
      <c r="W94" s="63"/>
      <c r="X94" s="63"/>
      <c r="Y94" s="63"/>
      <c r="Z94" s="63"/>
      <c r="AA94" s="63"/>
      <c r="AB94" s="63"/>
      <c r="AC94" s="63"/>
    </row>
    <row r="95" spans="1:29" ht="15.75">
      <c r="A95" s="59"/>
      <c r="B95" s="61"/>
      <c r="C95" s="62"/>
      <c r="D95" s="62"/>
      <c r="E95" s="62"/>
      <c r="F95" s="62"/>
      <c r="G95" s="63"/>
      <c r="H95" s="63"/>
      <c r="I95" s="63"/>
      <c r="J95" s="63"/>
      <c r="K95" s="63"/>
      <c r="L95" s="63"/>
      <c r="M95" s="63"/>
      <c r="N95" s="63"/>
      <c r="O95" s="63"/>
      <c r="P95" s="63"/>
      <c r="Q95" s="63"/>
      <c r="R95" s="63"/>
      <c r="S95" s="63"/>
      <c r="T95" s="63"/>
      <c r="U95" s="63"/>
      <c r="V95" s="63"/>
      <c r="W95" s="63"/>
      <c r="X95" s="63"/>
      <c r="Y95" s="63"/>
      <c r="Z95" s="63"/>
      <c r="AA95" s="63"/>
      <c r="AB95" s="63"/>
      <c r="AC95" s="63"/>
    </row>
    <row r="96" spans="1:29" ht="15.75">
      <c r="A96" s="59"/>
      <c r="B96" s="61"/>
      <c r="C96" s="62"/>
      <c r="D96" s="62"/>
      <c r="E96" s="62"/>
      <c r="F96" s="62"/>
      <c r="G96" s="63"/>
      <c r="H96" s="63"/>
      <c r="I96" s="63"/>
      <c r="J96" s="63"/>
      <c r="K96" s="63"/>
      <c r="L96" s="63"/>
      <c r="M96" s="63"/>
      <c r="N96" s="63"/>
      <c r="O96" s="63"/>
      <c r="P96" s="63"/>
      <c r="Q96" s="63"/>
      <c r="R96" s="63"/>
      <c r="S96" s="63"/>
      <c r="T96" s="63"/>
      <c r="U96" s="63"/>
      <c r="V96" s="63"/>
      <c r="W96" s="63"/>
      <c r="X96" s="63"/>
      <c r="Y96" s="63"/>
      <c r="Z96" s="63"/>
      <c r="AA96" s="63"/>
      <c r="AB96" s="63"/>
      <c r="AC96" s="63"/>
    </row>
    <row r="97" spans="1:29" ht="15.75">
      <c r="A97" s="59"/>
      <c r="B97" s="61"/>
      <c r="C97" s="62"/>
      <c r="D97" s="62"/>
      <c r="E97" s="62"/>
      <c r="F97" s="62"/>
      <c r="G97" s="63"/>
      <c r="H97" s="63"/>
      <c r="I97" s="63"/>
      <c r="J97" s="63"/>
      <c r="K97" s="63"/>
      <c r="L97" s="63"/>
      <c r="M97" s="63"/>
      <c r="N97" s="63"/>
      <c r="O97" s="63"/>
      <c r="P97" s="63"/>
      <c r="Q97" s="63"/>
      <c r="R97" s="63"/>
      <c r="S97" s="63"/>
      <c r="T97" s="63"/>
      <c r="U97" s="63"/>
      <c r="V97" s="63"/>
      <c r="W97" s="63"/>
      <c r="X97" s="63"/>
      <c r="Y97" s="63"/>
      <c r="Z97" s="63"/>
      <c r="AA97" s="63"/>
      <c r="AB97" s="63"/>
      <c r="AC97" s="63"/>
    </row>
    <row r="98" spans="1:29" ht="15.75">
      <c r="A98" s="59"/>
      <c r="B98" s="61"/>
      <c r="C98" s="62"/>
      <c r="D98" s="62"/>
      <c r="E98" s="62"/>
      <c r="F98" s="62"/>
      <c r="G98" s="63"/>
      <c r="H98" s="63"/>
      <c r="I98" s="63"/>
      <c r="J98" s="63"/>
      <c r="K98" s="63"/>
      <c r="L98" s="63"/>
      <c r="M98" s="63"/>
      <c r="N98" s="63"/>
      <c r="O98" s="63"/>
      <c r="P98" s="63"/>
      <c r="Q98" s="63"/>
      <c r="R98" s="63"/>
      <c r="S98" s="63"/>
      <c r="T98" s="63"/>
      <c r="U98" s="63"/>
      <c r="V98" s="63"/>
      <c r="W98" s="63"/>
      <c r="X98" s="63"/>
      <c r="Y98" s="63"/>
      <c r="Z98" s="63"/>
      <c r="AA98" s="63"/>
      <c r="AB98" s="63"/>
      <c r="AC98" s="63"/>
    </row>
    <row r="99" spans="1:29" ht="15.75">
      <c r="A99" s="59"/>
      <c r="B99" s="61"/>
      <c r="C99" s="62"/>
      <c r="D99" s="62"/>
      <c r="E99" s="62"/>
      <c r="F99" s="62"/>
      <c r="G99" s="63"/>
      <c r="H99" s="63"/>
      <c r="I99" s="63"/>
      <c r="J99" s="63"/>
      <c r="K99" s="63"/>
      <c r="L99" s="63"/>
      <c r="M99" s="63"/>
      <c r="N99" s="63"/>
      <c r="O99" s="63"/>
      <c r="P99" s="63"/>
      <c r="Q99" s="63"/>
      <c r="R99" s="63"/>
      <c r="S99" s="63"/>
      <c r="T99" s="63"/>
      <c r="U99" s="63"/>
      <c r="V99" s="63"/>
      <c r="W99" s="63"/>
      <c r="X99" s="63"/>
      <c r="Y99" s="63"/>
      <c r="Z99" s="63"/>
      <c r="AA99" s="63"/>
      <c r="AB99" s="63"/>
      <c r="AC99" s="63"/>
    </row>
    <row r="100" spans="1:29" ht="15.75">
      <c r="A100" s="59"/>
      <c r="B100" s="61"/>
      <c r="C100" s="62"/>
      <c r="D100" s="62"/>
      <c r="E100" s="62"/>
      <c r="F100" s="62"/>
      <c r="G100" s="63"/>
      <c r="H100" s="63"/>
      <c r="I100" s="63"/>
      <c r="J100" s="63"/>
      <c r="K100" s="63"/>
      <c r="L100" s="63"/>
      <c r="M100" s="63"/>
      <c r="N100" s="63"/>
      <c r="O100" s="63"/>
      <c r="P100" s="63"/>
      <c r="Q100" s="63"/>
      <c r="R100" s="63"/>
      <c r="S100" s="63"/>
      <c r="T100" s="63"/>
      <c r="U100" s="63"/>
      <c r="V100" s="63"/>
      <c r="W100" s="63"/>
      <c r="X100" s="63"/>
      <c r="Y100" s="63"/>
      <c r="Z100" s="63"/>
      <c r="AA100" s="63"/>
      <c r="AB100" s="63"/>
      <c r="AC100" s="63"/>
    </row>
    <row r="101" spans="1:29" ht="15.75">
      <c r="A101" s="59"/>
      <c r="B101" s="61"/>
      <c r="C101" s="62"/>
      <c r="D101" s="62"/>
      <c r="E101" s="62"/>
      <c r="F101" s="62"/>
      <c r="G101" s="63"/>
      <c r="H101" s="63"/>
      <c r="I101" s="63"/>
      <c r="J101" s="63"/>
      <c r="K101" s="63"/>
      <c r="L101" s="63"/>
      <c r="M101" s="63"/>
      <c r="N101" s="63"/>
      <c r="O101" s="63"/>
      <c r="P101" s="63"/>
      <c r="Q101" s="63"/>
      <c r="R101" s="63"/>
      <c r="S101" s="63"/>
      <c r="T101" s="63"/>
      <c r="U101" s="63"/>
      <c r="V101" s="63"/>
      <c r="W101" s="63"/>
      <c r="X101" s="63"/>
      <c r="Y101" s="63"/>
      <c r="Z101" s="63"/>
      <c r="AA101" s="63"/>
      <c r="AB101" s="63"/>
      <c r="AC101" s="63"/>
    </row>
    <row r="102" spans="1:29" ht="15.75">
      <c r="A102" s="59"/>
      <c r="B102" s="61"/>
      <c r="C102" s="62"/>
      <c r="D102" s="62"/>
      <c r="E102" s="62"/>
      <c r="F102" s="62"/>
      <c r="G102" s="63"/>
      <c r="H102" s="63"/>
      <c r="I102" s="63"/>
      <c r="J102" s="63"/>
      <c r="K102" s="63"/>
      <c r="L102" s="63"/>
      <c r="M102" s="63"/>
      <c r="N102" s="63"/>
      <c r="O102" s="63"/>
      <c r="P102" s="63"/>
      <c r="Q102" s="63"/>
      <c r="R102" s="63"/>
      <c r="S102" s="63"/>
      <c r="T102" s="63"/>
      <c r="U102" s="63"/>
      <c r="V102" s="63"/>
      <c r="W102" s="63"/>
      <c r="X102" s="63"/>
      <c r="Y102" s="63"/>
      <c r="Z102" s="63"/>
      <c r="AA102" s="63"/>
      <c r="AB102" s="63"/>
      <c r="AC102" s="63"/>
    </row>
    <row r="103" spans="1:29" ht="15.75">
      <c r="A103" s="59"/>
      <c r="B103" s="61"/>
      <c r="C103" s="62"/>
      <c r="D103" s="62"/>
      <c r="E103" s="62"/>
      <c r="F103" s="62"/>
      <c r="G103" s="63"/>
      <c r="H103" s="63"/>
      <c r="I103" s="63"/>
      <c r="J103" s="63"/>
      <c r="K103" s="63"/>
      <c r="L103" s="63"/>
      <c r="M103" s="63"/>
      <c r="N103" s="63"/>
      <c r="O103" s="63"/>
      <c r="P103" s="63"/>
      <c r="Q103" s="63"/>
      <c r="R103" s="63"/>
      <c r="S103" s="63"/>
      <c r="T103" s="63"/>
      <c r="U103" s="63"/>
      <c r="V103" s="63"/>
      <c r="W103" s="63"/>
      <c r="X103" s="63"/>
      <c r="Y103" s="63"/>
      <c r="Z103" s="63"/>
      <c r="AA103" s="63"/>
      <c r="AB103" s="63"/>
      <c r="AC103" s="63"/>
    </row>
    <row r="104" spans="1:29" ht="15.75">
      <c r="A104" s="59"/>
      <c r="B104" s="61"/>
      <c r="C104" s="62"/>
      <c r="D104" s="62"/>
      <c r="E104" s="62"/>
      <c r="F104" s="62"/>
      <c r="G104" s="63"/>
      <c r="H104" s="63"/>
      <c r="I104" s="63"/>
      <c r="J104" s="63"/>
      <c r="K104" s="63"/>
      <c r="L104" s="63"/>
      <c r="M104" s="63"/>
      <c r="N104" s="63"/>
      <c r="O104" s="63"/>
      <c r="P104" s="63"/>
      <c r="Q104" s="63"/>
      <c r="R104" s="63"/>
      <c r="S104" s="63"/>
      <c r="T104" s="63"/>
      <c r="U104" s="63"/>
      <c r="V104" s="63"/>
      <c r="W104" s="63"/>
      <c r="X104" s="63"/>
      <c r="Y104" s="63"/>
      <c r="Z104" s="63"/>
      <c r="AA104" s="63"/>
      <c r="AB104" s="63"/>
      <c r="AC104" s="63"/>
    </row>
    <row r="105" spans="1:29" ht="15.75">
      <c r="A105" s="59"/>
      <c r="B105" s="61"/>
      <c r="C105" s="62"/>
      <c r="D105" s="62"/>
      <c r="E105" s="62"/>
      <c r="F105" s="62"/>
      <c r="G105" s="63"/>
      <c r="H105" s="63"/>
      <c r="I105" s="63"/>
      <c r="J105" s="63"/>
      <c r="K105" s="63"/>
      <c r="L105" s="63"/>
      <c r="M105" s="63"/>
      <c r="N105" s="63"/>
      <c r="O105" s="63"/>
      <c r="P105" s="63"/>
      <c r="Q105" s="63"/>
      <c r="R105" s="63"/>
      <c r="S105" s="63"/>
      <c r="T105" s="63"/>
      <c r="U105" s="63"/>
      <c r="V105" s="63"/>
      <c r="W105" s="63"/>
      <c r="X105" s="63"/>
      <c r="Y105" s="63"/>
      <c r="Z105" s="63"/>
      <c r="AA105" s="63"/>
      <c r="AB105" s="63"/>
      <c r="AC105" s="63"/>
    </row>
    <row r="106" spans="1:29" ht="15.75">
      <c r="A106" s="59"/>
      <c r="B106" s="61"/>
      <c r="C106" s="62"/>
      <c r="D106" s="62"/>
      <c r="E106" s="62"/>
      <c r="F106" s="62"/>
      <c r="G106" s="63"/>
      <c r="H106" s="63"/>
      <c r="I106" s="63"/>
      <c r="J106" s="63"/>
      <c r="K106" s="63"/>
      <c r="L106" s="63"/>
      <c r="M106" s="63"/>
      <c r="N106" s="63"/>
      <c r="O106" s="63"/>
      <c r="P106" s="63"/>
      <c r="Q106" s="63"/>
      <c r="R106" s="63"/>
      <c r="S106" s="63"/>
      <c r="T106" s="63"/>
      <c r="U106" s="63"/>
      <c r="V106" s="63"/>
      <c r="W106" s="63"/>
      <c r="X106" s="63"/>
      <c r="Y106" s="63"/>
      <c r="Z106" s="63"/>
      <c r="AA106" s="63"/>
      <c r="AB106" s="63"/>
      <c r="AC106" s="63"/>
    </row>
    <row r="107" spans="1:29" ht="15.75">
      <c r="A107" s="59"/>
      <c r="B107" s="61"/>
      <c r="C107" s="62"/>
      <c r="D107" s="62"/>
      <c r="E107" s="62"/>
      <c r="F107" s="62"/>
      <c r="G107" s="63"/>
      <c r="H107" s="63"/>
      <c r="I107" s="63"/>
      <c r="J107" s="63"/>
      <c r="K107" s="63"/>
      <c r="L107" s="63"/>
      <c r="M107" s="63"/>
      <c r="N107" s="63"/>
      <c r="O107" s="63"/>
      <c r="P107" s="63"/>
      <c r="Q107" s="63"/>
      <c r="R107" s="63"/>
      <c r="S107" s="63"/>
      <c r="T107" s="63"/>
      <c r="U107" s="63"/>
      <c r="V107" s="63"/>
      <c r="W107" s="63"/>
      <c r="X107" s="63"/>
      <c r="Y107" s="63"/>
      <c r="Z107" s="63"/>
      <c r="AA107" s="63"/>
      <c r="AB107" s="63"/>
      <c r="AC107" s="63"/>
    </row>
    <row r="108" spans="1:29" ht="15.75">
      <c r="A108" s="59"/>
      <c r="B108" s="61"/>
      <c r="C108" s="62"/>
      <c r="D108" s="62"/>
      <c r="E108" s="62"/>
      <c r="F108" s="62"/>
      <c r="G108" s="63"/>
      <c r="H108" s="63"/>
      <c r="I108" s="63"/>
      <c r="J108" s="63"/>
      <c r="K108" s="63"/>
      <c r="L108" s="63"/>
      <c r="M108" s="63"/>
      <c r="N108" s="63"/>
      <c r="O108" s="63"/>
      <c r="P108" s="63"/>
      <c r="Q108" s="63"/>
      <c r="R108" s="63"/>
      <c r="S108" s="63"/>
      <c r="T108" s="63"/>
      <c r="U108" s="63"/>
      <c r="V108" s="63"/>
      <c r="W108" s="63"/>
      <c r="X108" s="63"/>
      <c r="Y108" s="63"/>
      <c r="Z108" s="63"/>
      <c r="AA108" s="63"/>
      <c r="AB108" s="63"/>
      <c r="AC108" s="63"/>
    </row>
    <row r="109" spans="1:29" ht="15.75">
      <c r="A109" s="59"/>
      <c r="B109" s="61"/>
      <c r="C109" s="62"/>
      <c r="D109" s="62"/>
      <c r="E109" s="62"/>
      <c r="F109" s="62"/>
      <c r="G109" s="63"/>
      <c r="H109" s="63"/>
      <c r="I109" s="63"/>
      <c r="J109" s="63"/>
      <c r="K109" s="63"/>
      <c r="L109" s="63"/>
      <c r="M109" s="63"/>
      <c r="N109" s="63"/>
      <c r="O109" s="63"/>
      <c r="P109" s="63"/>
      <c r="Q109" s="63"/>
      <c r="R109" s="63"/>
      <c r="S109" s="63"/>
      <c r="T109" s="63"/>
      <c r="U109" s="63"/>
      <c r="V109" s="63"/>
      <c r="W109" s="63"/>
      <c r="X109" s="63"/>
      <c r="Y109" s="63"/>
      <c r="Z109" s="63"/>
      <c r="AA109" s="63"/>
      <c r="AB109" s="63"/>
      <c r="AC109" s="63"/>
    </row>
    <row r="110" spans="1:29" ht="15.75">
      <c r="A110" s="59"/>
      <c r="B110" s="61"/>
      <c r="C110" s="62"/>
      <c r="D110" s="62"/>
      <c r="E110" s="62"/>
      <c r="F110" s="62"/>
      <c r="G110" s="63"/>
      <c r="H110" s="63"/>
      <c r="I110" s="63"/>
      <c r="J110" s="63"/>
      <c r="K110" s="63"/>
      <c r="L110" s="63"/>
      <c r="M110" s="63"/>
      <c r="N110" s="63"/>
      <c r="O110" s="63"/>
      <c r="P110" s="63"/>
      <c r="Q110" s="63"/>
      <c r="R110" s="63"/>
      <c r="S110" s="63"/>
      <c r="T110" s="63"/>
      <c r="U110" s="63"/>
      <c r="V110" s="63"/>
      <c r="W110" s="63"/>
      <c r="X110" s="63"/>
      <c r="Y110" s="63"/>
      <c r="Z110" s="63"/>
      <c r="AA110" s="63"/>
      <c r="AB110" s="63"/>
      <c r="AC110" s="63"/>
    </row>
    <row r="111" spans="1:29" ht="15.75">
      <c r="A111" s="59"/>
      <c r="B111" s="61"/>
      <c r="C111" s="62"/>
      <c r="D111" s="62"/>
      <c r="E111" s="62"/>
      <c r="F111" s="62"/>
      <c r="G111" s="63"/>
      <c r="H111" s="63"/>
      <c r="I111" s="63"/>
      <c r="J111" s="63"/>
      <c r="K111" s="63"/>
      <c r="L111" s="63"/>
      <c r="M111" s="63"/>
      <c r="N111" s="63"/>
      <c r="O111" s="63"/>
      <c r="P111" s="63"/>
      <c r="Q111" s="63"/>
      <c r="R111" s="63"/>
      <c r="S111" s="63"/>
      <c r="T111" s="63"/>
      <c r="U111" s="63"/>
      <c r="V111" s="63"/>
      <c r="W111" s="63"/>
      <c r="X111" s="63"/>
      <c r="Y111" s="63"/>
      <c r="Z111" s="63"/>
      <c r="AA111" s="63"/>
      <c r="AB111" s="63"/>
      <c r="AC111" s="63"/>
    </row>
    <row r="112" spans="1:29" ht="15.75">
      <c r="A112" s="59"/>
      <c r="B112" s="61"/>
      <c r="C112" s="62"/>
      <c r="D112" s="62"/>
      <c r="E112" s="62"/>
      <c r="F112" s="62"/>
      <c r="G112" s="63"/>
      <c r="H112" s="63"/>
      <c r="I112" s="63"/>
      <c r="J112" s="63"/>
      <c r="K112" s="63"/>
      <c r="L112" s="63"/>
      <c r="M112" s="63"/>
      <c r="N112" s="63"/>
      <c r="O112" s="63"/>
      <c r="P112" s="63"/>
      <c r="Q112" s="63"/>
      <c r="R112" s="63"/>
      <c r="S112" s="63"/>
      <c r="T112" s="63"/>
      <c r="U112" s="63"/>
      <c r="V112" s="63"/>
      <c r="W112" s="63"/>
      <c r="X112" s="63"/>
      <c r="Y112" s="63"/>
      <c r="Z112" s="63"/>
      <c r="AA112" s="63"/>
      <c r="AB112" s="63"/>
      <c r="AC112" s="63"/>
    </row>
    <row r="113" spans="1:29" ht="15.75">
      <c r="A113" s="59"/>
      <c r="B113" s="61"/>
      <c r="C113" s="62"/>
      <c r="D113" s="62"/>
      <c r="E113" s="62"/>
      <c r="F113" s="62"/>
      <c r="G113" s="63"/>
      <c r="H113" s="63"/>
      <c r="I113" s="63"/>
      <c r="J113" s="63"/>
      <c r="K113" s="63"/>
      <c r="L113" s="63"/>
      <c r="M113" s="63"/>
      <c r="N113" s="63"/>
      <c r="O113" s="63"/>
      <c r="P113" s="63"/>
      <c r="Q113" s="63"/>
      <c r="R113" s="63"/>
      <c r="S113" s="63"/>
      <c r="T113" s="63"/>
      <c r="U113" s="63"/>
      <c r="V113" s="63"/>
      <c r="W113" s="63"/>
      <c r="X113" s="63"/>
      <c r="Y113" s="63"/>
      <c r="Z113" s="63"/>
      <c r="AA113" s="63"/>
      <c r="AB113" s="63"/>
      <c r="AC113" s="63"/>
    </row>
    <row r="114" spans="1:29" ht="15.75">
      <c r="A114" s="59"/>
      <c r="B114" s="61"/>
      <c r="C114" s="62"/>
      <c r="D114" s="62"/>
      <c r="E114" s="62"/>
      <c r="F114" s="62"/>
      <c r="G114" s="63"/>
      <c r="H114" s="63"/>
      <c r="I114" s="63"/>
      <c r="J114" s="63"/>
      <c r="K114" s="63"/>
      <c r="L114" s="63"/>
      <c r="M114" s="63"/>
      <c r="N114" s="63"/>
      <c r="O114" s="63"/>
      <c r="P114" s="63"/>
      <c r="Q114" s="63"/>
      <c r="R114" s="63"/>
      <c r="S114" s="63"/>
      <c r="T114" s="63"/>
      <c r="U114" s="63"/>
      <c r="V114" s="63"/>
      <c r="W114" s="63"/>
      <c r="X114" s="63"/>
      <c r="Y114" s="63"/>
      <c r="Z114" s="63"/>
      <c r="AA114" s="63"/>
      <c r="AB114" s="63"/>
      <c r="AC114" s="63"/>
    </row>
    <row r="115" spans="1:29" ht="15.75">
      <c r="A115" s="59"/>
      <c r="B115" s="61"/>
      <c r="C115" s="62"/>
      <c r="D115" s="62"/>
      <c r="E115" s="62"/>
      <c r="F115" s="62"/>
      <c r="G115" s="63"/>
      <c r="H115" s="63"/>
      <c r="I115" s="63"/>
      <c r="J115" s="63"/>
      <c r="K115" s="63"/>
      <c r="L115" s="63"/>
      <c r="M115" s="63"/>
      <c r="N115" s="63"/>
      <c r="O115" s="63"/>
      <c r="P115" s="63"/>
      <c r="Q115" s="63"/>
      <c r="R115" s="63"/>
      <c r="S115" s="63"/>
      <c r="T115" s="63"/>
      <c r="U115" s="63"/>
      <c r="V115" s="63"/>
      <c r="W115" s="63"/>
      <c r="X115" s="63"/>
      <c r="Y115" s="63"/>
      <c r="Z115" s="63"/>
      <c r="AA115" s="63"/>
      <c r="AB115" s="63"/>
      <c r="AC115" s="63"/>
    </row>
    <row r="116" spans="1:29" ht="15.75">
      <c r="A116" s="59"/>
      <c r="B116" s="61"/>
      <c r="C116" s="62"/>
      <c r="D116" s="62"/>
      <c r="E116" s="62"/>
      <c r="F116" s="62"/>
      <c r="G116" s="63"/>
      <c r="H116" s="63"/>
      <c r="I116" s="63"/>
      <c r="J116" s="63"/>
      <c r="K116" s="63"/>
      <c r="L116" s="63"/>
      <c r="M116" s="63"/>
      <c r="N116" s="63"/>
      <c r="O116" s="63"/>
      <c r="P116" s="63"/>
      <c r="Q116" s="63"/>
      <c r="R116" s="63"/>
      <c r="S116" s="63"/>
      <c r="T116" s="63"/>
      <c r="U116" s="63"/>
      <c r="V116" s="63"/>
      <c r="W116" s="63"/>
      <c r="X116" s="63"/>
      <c r="Y116" s="63"/>
      <c r="Z116" s="63"/>
      <c r="AA116" s="63"/>
      <c r="AB116" s="63"/>
      <c r="AC116" s="63"/>
    </row>
    <row r="117" spans="1:29" ht="15.75">
      <c r="A117" s="59"/>
      <c r="B117" s="61"/>
      <c r="C117" s="62"/>
      <c r="D117" s="62"/>
      <c r="E117" s="62"/>
      <c r="F117" s="62"/>
      <c r="G117" s="63"/>
      <c r="H117" s="63"/>
      <c r="I117" s="63"/>
      <c r="J117" s="63"/>
      <c r="K117" s="63"/>
      <c r="L117" s="63"/>
      <c r="M117" s="63"/>
      <c r="N117" s="63"/>
      <c r="O117" s="63"/>
      <c r="P117" s="63"/>
      <c r="Q117" s="63"/>
      <c r="R117" s="63"/>
      <c r="S117" s="63"/>
      <c r="T117" s="63"/>
      <c r="U117" s="63"/>
      <c r="V117" s="63"/>
      <c r="W117" s="63"/>
      <c r="X117" s="63"/>
      <c r="Y117" s="63"/>
      <c r="Z117" s="63"/>
      <c r="AA117" s="63"/>
      <c r="AB117" s="63"/>
      <c r="AC117" s="63"/>
    </row>
    <row r="118" spans="1:29" ht="15.75">
      <c r="A118" s="59"/>
      <c r="B118" s="61"/>
      <c r="C118" s="62"/>
      <c r="D118" s="62"/>
      <c r="E118" s="62"/>
      <c r="F118" s="62"/>
      <c r="G118" s="63"/>
      <c r="H118" s="63"/>
      <c r="I118" s="63"/>
      <c r="J118" s="63"/>
      <c r="K118" s="63"/>
      <c r="L118" s="63"/>
      <c r="M118" s="63"/>
      <c r="N118" s="63"/>
      <c r="O118" s="63"/>
      <c r="P118" s="63"/>
      <c r="Q118" s="63"/>
      <c r="R118" s="63"/>
      <c r="S118" s="63"/>
      <c r="T118" s="63"/>
      <c r="U118" s="63"/>
      <c r="V118" s="63"/>
      <c r="W118" s="63"/>
      <c r="X118" s="63"/>
      <c r="Y118" s="63"/>
      <c r="Z118" s="63"/>
      <c r="AA118" s="63"/>
      <c r="AB118" s="63"/>
      <c r="AC118" s="63"/>
    </row>
    <row r="119" spans="1:29" ht="15.75">
      <c r="A119" s="59"/>
      <c r="B119" s="61"/>
      <c r="C119" s="62"/>
      <c r="D119" s="62"/>
      <c r="E119" s="62"/>
      <c r="F119" s="62"/>
      <c r="G119" s="63"/>
      <c r="H119" s="63"/>
      <c r="I119" s="63"/>
      <c r="J119" s="63"/>
      <c r="K119" s="63"/>
      <c r="L119" s="63"/>
      <c r="M119" s="63"/>
      <c r="N119" s="63"/>
      <c r="O119" s="63"/>
      <c r="P119" s="63"/>
      <c r="Q119" s="63"/>
      <c r="R119" s="63"/>
      <c r="S119" s="63"/>
      <c r="T119" s="63"/>
      <c r="U119" s="63"/>
      <c r="V119" s="63"/>
      <c r="W119" s="63"/>
      <c r="X119" s="63"/>
      <c r="Y119" s="63"/>
      <c r="Z119" s="63"/>
      <c r="AA119" s="63"/>
      <c r="AB119" s="63"/>
      <c r="AC119" s="63"/>
    </row>
    <row r="120" spans="1:29" ht="15.75">
      <c r="A120" s="59"/>
      <c r="B120" s="61"/>
      <c r="C120" s="62"/>
      <c r="D120" s="62"/>
      <c r="E120" s="62"/>
      <c r="F120" s="62"/>
      <c r="G120" s="63"/>
      <c r="H120" s="63"/>
      <c r="I120" s="63"/>
      <c r="J120" s="63"/>
      <c r="K120" s="63"/>
      <c r="L120" s="63"/>
      <c r="M120" s="63"/>
      <c r="N120" s="63"/>
      <c r="O120" s="63"/>
      <c r="P120" s="63"/>
      <c r="Q120" s="63"/>
      <c r="R120" s="63"/>
      <c r="S120" s="63"/>
      <c r="T120" s="63"/>
      <c r="U120" s="63"/>
      <c r="V120" s="63"/>
      <c r="W120" s="63"/>
      <c r="X120" s="63"/>
      <c r="Y120" s="63"/>
      <c r="Z120" s="63"/>
      <c r="AA120" s="63"/>
      <c r="AB120" s="63"/>
      <c r="AC120" s="63"/>
    </row>
    <row r="121" spans="1:29" ht="15.75">
      <c r="A121" s="59"/>
      <c r="B121" s="61"/>
      <c r="C121" s="62"/>
      <c r="D121" s="62"/>
      <c r="E121" s="62"/>
      <c r="F121" s="62"/>
      <c r="G121" s="63"/>
      <c r="H121" s="63"/>
      <c r="I121" s="63"/>
      <c r="J121" s="63"/>
      <c r="K121" s="63"/>
      <c r="L121" s="63"/>
      <c r="M121" s="63"/>
      <c r="N121" s="63"/>
      <c r="O121" s="63"/>
      <c r="P121" s="63"/>
      <c r="Q121" s="63"/>
      <c r="R121" s="63"/>
      <c r="S121" s="63"/>
      <c r="T121" s="63"/>
      <c r="U121" s="63"/>
      <c r="V121" s="63"/>
      <c r="W121" s="63"/>
      <c r="X121" s="63"/>
      <c r="Y121" s="63"/>
      <c r="Z121" s="63"/>
      <c r="AA121" s="63"/>
      <c r="AB121" s="63"/>
      <c r="AC121" s="63"/>
    </row>
    <row r="122" spans="1:29" ht="15.75">
      <c r="A122" s="59"/>
      <c r="B122" s="61"/>
      <c r="C122" s="62"/>
      <c r="D122" s="62"/>
      <c r="E122" s="62"/>
      <c r="F122" s="62"/>
      <c r="G122" s="63"/>
      <c r="H122" s="63"/>
      <c r="I122" s="63"/>
      <c r="J122" s="63"/>
      <c r="K122" s="63"/>
      <c r="L122" s="63"/>
      <c r="M122" s="63"/>
      <c r="N122" s="63"/>
      <c r="O122" s="63"/>
      <c r="P122" s="63"/>
      <c r="Q122" s="63"/>
      <c r="R122" s="63"/>
      <c r="S122" s="63"/>
      <c r="T122" s="63"/>
      <c r="U122" s="63"/>
      <c r="V122" s="63"/>
      <c r="W122" s="63"/>
      <c r="X122" s="63"/>
      <c r="Y122" s="63"/>
      <c r="Z122" s="63"/>
      <c r="AA122" s="63"/>
      <c r="AB122" s="63"/>
      <c r="AC122" s="63"/>
    </row>
    <row r="123" spans="1:29" ht="15.75">
      <c r="A123" s="59"/>
      <c r="B123" s="61"/>
      <c r="C123" s="62"/>
      <c r="D123" s="62"/>
      <c r="E123" s="62"/>
      <c r="F123" s="62"/>
      <c r="G123" s="63"/>
      <c r="H123" s="63"/>
      <c r="I123" s="63"/>
      <c r="J123" s="63"/>
      <c r="K123" s="63"/>
      <c r="L123" s="63"/>
      <c r="M123" s="63"/>
      <c r="N123" s="63"/>
      <c r="O123" s="63"/>
      <c r="P123" s="63"/>
      <c r="Q123" s="63"/>
      <c r="R123" s="63"/>
      <c r="S123" s="63"/>
      <c r="T123" s="63"/>
      <c r="U123" s="63"/>
      <c r="V123" s="63"/>
      <c r="W123" s="63"/>
      <c r="X123" s="63"/>
      <c r="Y123" s="63"/>
      <c r="Z123" s="63"/>
      <c r="AA123" s="63"/>
      <c r="AB123" s="63"/>
      <c r="AC123" s="63"/>
    </row>
    <row r="124" spans="1:29" ht="15.75">
      <c r="A124" s="59"/>
      <c r="B124" s="61"/>
      <c r="C124" s="62"/>
      <c r="D124" s="62"/>
      <c r="E124" s="62"/>
      <c r="F124" s="62"/>
      <c r="G124" s="63"/>
      <c r="H124" s="63"/>
      <c r="I124" s="63"/>
      <c r="J124" s="63"/>
      <c r="K124" s="63"/>
      <c r="L124" s="63"/>
      <c r="M124" s="63"/>
      <c r="N124" s="63"/>
      <c r="O124" s="63"/>
      <c r="P124" s="63"/>
      <c r="Q124" s="63"/>
      <c r="R124" s="63"/>
      <c r="S124" s="63"/>
      <c r="T124" s="63"/>
      <c r="U124" s="63"/>
      <c r="V124" s="63"/>
      <c r="W124" s="63"/>
      <c r="X124" s="63"/>
      <c r="Y124" s="63"/>
      <c r="Z124" s="63"/>
      <c r="AA124" s="63"/>
      <c r="AB124" s="63"/>
      <c r="AC124" s="63"/>
    </row>
    <row r="125" spans="1:29" ht="15.75">
      <c r="A125" s="59"/>
      <c r="B125" s="61"/>
      <c r="C125" s="62"/>
      <c r="D125" s="62"/>
      <c r="E125" s="62"/>
      <c r="F125" s="62"/>
      <c r="G125" s="63"/>
      <c r="H125" s="63"/>
      <c r="I125" s="63"/>
      <c r="J125" s="63"/>
      <c r="K125" s="63"/>
      <c r="L125" s="63"/>
      <c r="M125" s="63"/>
      <c r="N125" s="63"/>
      <c r="O125" s="63"/>
      <c r="P125" s="63"/>
      <c r="Q125" s="63"/>
      <c r="R125" s="63"/>
      <c r="S125" s="63"/>
      <c r="T125" s="63"/>
      <c r="U125" s="63"/>
      <c r="V125" s="63"/>
      <c r="W125" s="63"/>
      <c r="X125" s="63"/>
      <c r="Y125" s="63"/>
      <c r="Z125" s="63"/>
      <c r="AA125" s="63"/>
      <c r="AB125" s="63"/>
      <c r="AC125" s="63"/>
    </row>
    <row r="126" spans="1:29" ht="15.75">
      <c r="A126" s="59"/>
      <c r="B126" s="61"/>
      <c r="C126" s="62"/>
      <c r="D126" s="62"/>
      <c r="E126" s="62"/>
      <c r="F126" s="62"/>
      <c r="G126" s="63"/>
      <c r="H126" s="63"/>
      <c r="I126" s="63"/>
      <c r="J126" s="63"/>
      <c r="K126" s="63"/>
      <c r="L126" s="63"/>
      <c r="M126" s="63"/>
      <c r="N126" s="63"/>
      <c r="O126" s="63"/>
      <c r="P126" s="63"/>
      <c r="Q126" s="63"/>
      <c r="R126" s="63"/>
      <c r="S126" s="63"/>
      <c r="T126" s="63"/>
      <c r="U126" s="63"/>
      <c r="V126" s="63"/>
      <c r="W126" s="63"/>
      <c r="X126" s="63"/>
      <c r="Y126" s="63"/>
      <c r="Z126" s="63"/>
      <c r="AA126" s="63"/>
      <c r="AB126" s="63"/>
      <c r="AC126" s="63"/>
    </row>
    <row r="127" spans="1:29" ht="15.75">
      <c r="A127" s="59"/>
      <c r="B127" s="61"/>
      <c r="C127" s="62"/>
      <c r="D127" s="62"/>
      <c r="E127" s="62"/>
      <c r="F127" s="62"/>
      <c r="G127" s="63"/>
      <c r="H127" s="63"/>
      <c r="I127" s="63"/>
      <c r="J127" s="63"/>
      <c r="K127" s="63"/>
      <c r="L127" s="63"/>
      <c r="M127" s="63"/>
      <c r="N127" s="63"/>
      <c r="O127" s="63"/>
      <c r="P127" s="63"/>
      <c r="Q127" s="63"/>
      <c r="R127" s="63"/>
      <c r="S127" s="63"/>
      <c r="T127" s="63"/>
      <c r="U127" s="63"/>
      <c r="V127" s="63"/>
      <c r="W127" s="63"/>
      <c r="X127" s="63"/>
      <c r="Y127" s="63"/>
      <c r="Z127" s="63"/>
      <c r="AA127" s="63"/>
      <c r="AB127" s="63"/>
      <c r="AC127" s="63"/>
    </row>
    <row r="128" spans="1:29" ht="15.75">
      <c r="A128" s="59"/>
      <c r="B128" s="61"/>
      <c r="C128" s="62"/>
      <c r="D128" s="62"/>
      <c r="E128" s="62"/>
      <c r="F128" s="62"/>
      <c r="G128" s="63"/>
      <c r="H128" s="63"/>
      <c r="I128" s="63"/>
      <c r="J128" s="63"/>
      <c r="K128" s="63"/>
      <c r="L128" s="63"/>
      <c r="M128" s="63"/>
      <c r="N128" s="63"/>
      <c r="O128" s="63"/>
      <c r="P128" s="63"/>
      <c r="Q128" s="63"/>
      <c r="R128" s="63"/>
      <c r="S128" s="63"/>
      <c r="T128" s="63"/>
      <c r="U128" s="63"/>
      <c r="V128" s="63"/>
      <c r="W128" s="63"/>
      <c r="X128" s="63"/>
      <c r="Y128" s="63"/>
      <c r="Z128" s="63"/>
      <c r="AA128" s="63"/>
      <c r="AB128" s="63"/>
      <c r="AC128" s="63"/>
    </row>
    <row r="129" spans="1:29" ht="15.75">
      <c r="A129" s="59"/>
      <c r="B129" s="61"/>
      <c r="C129" s="62"/>
      <c r="D129" s="62"/>
      <c r="E129" s="62"/>
      <c r="F129" s="62"/>
      <c r="G129" s="63"/>
      <c r="H129" s="63"/>
      <c r="I129" s="63"/>
      <c r="J129" s="63"/>
      <c r="K129" s="63"/>
      <c r="L129" s="63"/>
      <c r="M129" s="63"/>
      <c r="N129" s="63"/>
      <c r="O129" s="63"/>
      <c r="P129" s="63"/>
      <c r="Q129" s="63"/>
      <c r="R129" s="63"/>
      <c r="S129" s="63"/>
      <c r="T129" s="63"/>
      <c r="U129" s="63"/>
      <c r="V129" s="63"/>
      <c r="W129" s="63"/>
      <c r="X129" s="63"/>
      <c r="Y129" s="63"/>
      <c r="Z129" s="63"/>
      <c r="AA129" s="63"/>
      <c r="AB129" s="63"/>
      <c r="AC129" s="63"/>
    </row>
    <row r="130" spans="1:29" ht="15.75">
      <c r="A130" s="59"/>
      <c r="B130" s="61"/>
      <c r="C130" s="62"/>
      <c r="D130" s="62"/>
      <c r="E130" s="62"/>
      <c r="F130" s="62"/>
      <c r="G130" s="63"/>
      <c r="H130" s="63"/>
      <c r="I130" s="63"/>
      <c r="J130" s="63"/>
      <c r="K130" s="63"/>
      <c r="L130" s="63"/>
      <c r="M130" s="63"/>
      <c r="N130" s="63"/>
      <c r="O130" s="63"/>
      <c r="P130" s="63"/>
      <c r="Q130" s="63"/>
      <c r="R130" s="63"/>
      <c r="S130" s="63"/>
      <c r="T130" s="63"/>
      <c r="U130" s="63"/>
      <c r="V130" s="63"/>
      <c r="W130" s="63"/>
      <c r="X130" s="63"/>
      <c r="Y130" s="63"/>
      <c r="Z130" s="63"/>
      <c r="AA130" s="63"/>
      <c r="AB130" s="63"/>
      <c r="AC130" s="63"/>
    </row>
    <row r="131" spans="1:29" ht="15.75">
      <c r="A131" s="59"/>
      <c r="B131" s="61"/>
      <c r="C131" s="62"/>
      <c r="D131" s="62"/>
      <c r="E131" s="62"/>
      <c r="F131" s="62"/>
      <c r="G131" s="63"/>
      <c r="H131" s="63"/>
      <c r="I131" s="63"/>
      <c r="J131" s="63"/>
      <c r="K131" s="63"/>
      <c r="L131" s="63"/>
      <c r="M131" s="63"/>
      <c r="N131" s="63"/>
      <c r="O131" s="63"/>
      <c r="P131" s="63"/>
      <c r="Q131" s="63"/>
      <c r="R131" s="63"/>
      <c r="S131" s="63"/>
      <c r="T131" s="63"/>
      <c r="U131" s="63"/>
      <c r="V131" s="63"/>
      <c r="W131" s="63"/>
      <c r="X131" s="63"/>
      <c r="Y131" s="63"/>
      <c r="Z131" s="63"/>
      <c r="AA131" s="63"/>
      <c r="AB131" s="63"/>
      <c r="AC131" s="63"/>
    </row>
    <row r="132" spans="1:29" ht="15.75">
      <c r="A132" s="59"/>
      <c r="B132" s="61"/>
      <c r="C132" s="62"/>
      <c r="D132" s="62"/>
      <c r="E132" s="62"/>
      <c r="F132" s="62"/>
      <c r="G132" s="63"/>
      <c r="H132" s="63"/>
      <c r="I132" s="63"/>
      <c r="J132" s="63"/>
      <c r="K132" s="63"/>
      <c r="L132" s="63"/>
      <c r="M132" s="63"/>
      <c r="N132" s="63"/>
      <c r="O132" s="63"/>
      <c r="P132" s="63"/>
      <c r="Q132" s="63"/>
      <c r="R132" s="63"/>
      <c r="S132" s="63"/>
      <c r="T132" s="63"/>
      <c r="U132" s="63"/>
      <c r="V132" s="63"/>
      <c r="W132" s="63"/>
      <c r="X132" s="63"/>
      <c r="Y132" s="63"/>
      <c r="Z132" s="63"/>
      <c r="AA132" s="63"/>
      <c r="AB132" s="63"/>
      <c r="AC132" s="63"/>
    </row>
    <row r="133" spans="1:29" ht="15.75">
      <c r="A133" s="59"/>
      <c r="B133" s="61"/>
      <c r="C133" s="62"/>
      <c r="D133" s="62"/>
      <c r="E133" s="62"/>
      <c r="F133" s="62"/>
      <c r="G133" s="63"/>
      <c r="H133" s="63"/>
      <c r="I133" s="63"/>
      <c r="J133" s="63"/>
      <c r="K133" s="63"/>
      <c r="L133" s="63"/>
      <c r="M133" s="63"/>
      <c r="N133" s="63"/>
      <c r="O133" s="63"/>
      <c r="P133" s="63"/>
      <c r="Q133" s="63"/>
      <c r="R133" s="63"/>
      <c r="S133" s="63"/>
      <c r="T133" s="63"/>
      <c r="U133" s="63"/>
      <c r="V133" s="63"/>
      <c r="W133" s="63"/>
      <c r="X133" s="63"/>
      <c r="Y133" s="63"/>
      <c r="Z133" s="63"/>
      <c r="AA133" s="63"/>
      <c r="AB133" s="63"/>
      <c r="AC133" s="63"/>
    </row>
    <row r="134" spans="1:29" ht="15.75">
      <c r="A134" s="59"/>
      <c r="B134" s="61"/>
      <c r="C134" s="62"/>
      <c r="D134" s="62"/>
      <c r="E134" s="62"/>
      <c r="F134" s="62"/>
      <c r="G134" s="63"/>
      <c r="H134" s="63"/>
      <c r="I134" s="63"/>
      <c r="J134" s="63"/>
      <c r="K134" s="63"/>
      <c r="L134" s="63"/>
      <c r="M134" s="63"/>
      <c r="N134" s="63"/>
      <c r="O134" s="63"/>
      <c r="P134" s="63"/>
      <c r="Q134" s="63"/>
      <c r="R134" s="63"/>
      <c r="S134" s="63"/>
      <c r="T134" s="63"/>
      <c r="U134" s="63"/>
      <c r="V134" s="63"/>
      <c r="W134" s="63"/>
      <c r="X134" s="63"/>
      <c r="Y134" s="63"/>
      <c r="Z134" s="63"/>
      <c r="AA134" s="63"/>
      <c r="AB134" s="63"/>
      <c r="AC134" s="63"/>
    </row>
    <row r="135" spans="1:29" ht="15.75">
      <c r="A135" s="59"/>
      <c r="B135" s="61"/>
      <c r="C135" s="62"/>
      <c r="D135" s="62"/>
      <c r="E135" s="62"/>
      <c r="F135" s="62"/>
      <c r="G135" s="63"/>
      <c r="H135" s="63"/>
      <c r="I135" s="63"/>
      <c r="J135" s="63"/>
      <c r="K135" s="63"/>
      <c r="L135" s="63"/>
      <c r="M135" s="63"/>
      <c r="N135" s="63"/>
      <c r="O135" s="63"/>
      <c r="P135" s="63"/>
      <c r="Q135" s="63"/>
      <c r="R135" s="63"/>
      <c r="S135" s="63"/>
      <c r="T135" s="63"/>
      <c r="U135" s="63"/>
      <c r="V135" s="63"/>
      <c r="W135" s="63"/>
      <c r="X135" s="63"/>
      <c r="Y135" s="63"/>
      <c r="Z135" s="63"/>
      <c r="AA135" s="63"/>
      <c r="AB135" s="63"/>
      <c r="AC135" s="63"/>
    </row>
    <row r="136" spans="1:29" ht="15.75">
      <c r="A136" s="59"/>
      <c r="B136" s="61"/>
      <c r="C136" s="62"/>
      <c r="D136" s="62"/>
      <c r="E136" s="62"/>
      <c r="F136" s="62"/>
      <c r="G136" s="63"/>
      <c r="H136" s="63"/>
      <c r="I136" s="63"/>
      <c r="J136" s="63"/>
      <c r="K136" s="63"/>
      <c r="L136" s="63"/>
      <c r="M136" s="63"/>
      <c r="N136" s="63"/>
      <c r="O136" s="63"/>
      <c r="P136" s="63"/>
      <c r="Q136" s="63"/>
      <c r="R136" s="63"/>
      <c r="S136" s="63"/>
      <c r="T136" s="63"/>
      <c r="U136" s="63"/>
      <c r="V136" s="63"/>
      <c r="W136" s="63"/>
      <c r="X136" s="63"/>
      <c r="Y136" s="63"/>
      <c r="Z136" s="63"/>
      <c r="AA136" s="63"/>
      <c r="AB136" s="63"/>
      <c r="AC136" s="63"/>
    </row>
    <row r="137" spans="1:29" ht="15.75">
      <c r="A137" s="59"/>
      <c r="B137" s="61"/>
      <c r="C137" s="62"/>
      <c r="D137" s="62"/>
      <c r="E137" s="62"/>
      <c r="F137" s="62"/>
      <c r="G137" s="63"/>
      <c r="H137" s="63"/>
      <c r="I137" s="63"/>
      <c r="J137" s="63"/>
      <c r="K137" s="63"/>
      <c r="L137" s="63"/>
      <c r="M137" s="63"/>
      <c r="N137" s="63"/>
      <c r="O137" s="63"/>
      <c r="P137" s="63"/>
      <c r="Q137" s="63"/>
      <c r="R137" s="63"/>
      <c r="S137" s="63"/>
      <c r="T137" s="63"/>
      <c r="U137" s="63"/>
      <c r="V137" s="63"/>
      <c r="W137" s="63"/>
      <c r="X137" s="63"/>
      <c r="Y137" s="63"/>
      <c r="Z137" s="63"/>
      <c r="AA137" s="63"/>
      <c r="AB137" s="63"/>
      <c r="AC137" s="63"/>
    </row>
    <row r="138" spans="1:29" ht="15.75">
      <c r="A138" s="59"/>
      <c r="B138" s="61"/>
      <c r="C138" s="62"/>
      <c r="D138" s="62"/>
      <c r="E138" s="62"/>
      <c r="F138" s="62"/>
      <c r="G138" s="63"/>
      <c r="H138" s="63"/>
      <c r="I138" s="63"/>
      <c r="J138" s="63"/>
      <c r="K138" s="63"/>
      <c r="L138" s="63"/>
      <c r="M138" s="63"/>
      <c r="N138" s="63"/>
      <c r="O138" s="63"/>
      <c r="P138" s="63"/>
      <c r="Q138" s="63"/>
      <c r="R138" s="63"/>
      <c r="S138" s="63"/>
      <c r="T138" s="63"/>
      <c r="U138" s="63"/>
      <c r="V138" s="63"/>
      <c r="W138" s="63"/>
      <c r="X138" s="63"/>
      <c r="Y138" s="63"/>
      <c r="Z138" s="63"/>
      <c r="AA138" s="63"/>
      <c r="AB138" s="63"/>
      <c r="AC138" s="63"/>
    </row>
    <row r="139" spans="1:29" ht="15.75">
      <c r="A139" s="59"/>
      <c r="B139" s="61"/>
      <c r="C139" s="62"/>
      <c r="D139" s="62"/>
      <c r="E139" s="62"/>
      <c r="F139" s="62"/>
      <c r="G139" s="63"/>
      <c r="H139" s="63"/>
      <c r="I139" s="63"/>
      <c r="J139" s="63"/>
      <c r="K139" s="63"/>
      <c r="L139" s="63"/>
      <c r="M139" s="63"/>
      <c r="N139" s="63"/>
      <c r="O139" s="63"/>
      <c r="P139" s="63"/>
      <c r="Q139" s="63"/>
      <c r="R139" s="63"/>
      <c r="S139" s="63"/>
      <c r="T139" s="63"/>
      <c r="U139" s="63"/>
      <c r="V139" s="63"/>
      <c r="W139" s="63"/>
      <c r="X139" s="63"/>
      <c r="Y139" s="63"/>
      <c r="Z139" s="63"/>
      <c r="AA139" s="63"/>
      <c r="AB139" s="63"/>
      <c r="AC139" s="63"/>
    </row>
    <row r="140" spans="1:29" ht="15.75">
      <c r="A140" s="59"/>
      <c r="B140" s="61"/>
      <c r="C140" s="62"/>
      <c r="D140" s="62"/>
      <c r="E140" s="62"/>
      <c r="F140" s="62"/>
      <c r="G140" s="63"/>
      <c r="H140" s="63"/>
      <c r="I140" s="63"/>
      <c r="J140" s="63"/>
      <c r="K140" s="63"/>
      <c r="L140" s="63"/>
      <c r="M140" s="63"/>
      <c r="N140" s="63"/>
      <c r="O140" s="63"/>
      <c r="P140" s="63"/>
      <c r="Q140" s="63"/>
      <c r="R140" s="63"/>
      <c r="S140" s="63"/>
      <c r="T140" s="63"/>
      <c r="U140" s="63"/>
      <c r="V140" s="63"/>
      <c r="W140" s="63"/>
      <c r="X140" s="63"/>
      <c r="Y140" s="63"/>
      <c r="Z140" s="63"/>
      <c r="AA140" s="63"/>
      <c r="AB140" s="63"/>
      <c r="AC140" s="63"/>
    </row>
    <row r="141" spans="1:29" ht="15.75">
      <c r="A141" s="59"/>
      <c r="B141" s="61"/>
      <c r="C141" s="62"/>
      <c r="D141" s="62"/>
      <c r="E141" s="62"/>
      <c r="F141" s="62"/>
      <c r="G141" s="63"/>
      <c r="H141" s="63"/>
      <c r="I141" s="63"/>
      <c r="J141" s="63"/>
      <c r="K141" s="63"/>
      <c r="L141" s="63"/>
      <c r="M141" s="63"/>
      <c r="N141" s="63"/>
      <c r="O141" s="63"/>
      <c r="P141" s="63"/>
      <c r="Q141" s="63"/>
      <c r="R141" s="63"/>
      <c r="S141" s="63"/>
      <c r="T141" s="63"/>
      <c r="U141" s="63"/>
      <c r="V141" s="63"/>
      <c r="W141" s="63"/>
      <c r="X141" s="63"/>
      <c r="Y141" s="63"/>
      <c r="Z141" s="63"/>
      <c r="AA141" s="63"/>
      <c r="AB141" s="63"/>
      <c r="AC141" s="63"/>
    </row>
    <row r="142" spans="1:29" ht="15.75">
      <c r="A142" s="59"/>
      <c r="B142" s="61"/>
      <c r="C142" s="62"/>
      <c r="D142" s="62"/>
      <c r="E142" s="62"/>
      <c r="F142" s="62"/>
      <c r="G142" s="63"/>
      <c r="H142" s="63"/>
      <c r="I142" s="63"/>
      <c r="J142" s="63"/>
      <c r="K142" s="63"/>
      <c r="L142" s="63"/>
      <c r="M142" s="63"/>
      <c r="N142" s="63"/>
      <c r="O142" s="63"/>
      <c r="P142" s="63"/>
      <c r="Q142" s="63"/>
      <c r="R142" s="63"/>
      <c r="S142" s="63"/>
      <c r="T142" s="63"/>
      <c r="U142" s="63"/>
      <c r="V142" s="63"/>
      <c r="W142" s="63"/>
      <c r="X142" s="63"/>
      <c r="Y142" s="63"/>
      <c r="Z142" s="63"/>
      <c r="AA142" s="63"/>
      <c r="AB142" s="63"/>
      <c r="AC142" s="63"/>
    </row>
    <row r="143" spans="1:29" ht="15.75">
      <c r="A143" s="59"/>
      <c r="B143" s="61"/>
      <c r="C143" s="62"/>
      <c r="D143" s="62"/>
      <c r="E143" s="62"/>
      <c r="F143" s="62"/>
      <c r="G143" s="63"/>
      <c r="H143" s="63"/>
      <c r="I143" s="63"/>
      <c r="J143" s="63"/>
      <c r="K143" s="63"/>
      <c r="L143" s="63"/>
      <c r="M143" s="63"/>
      <c r="N143" s="63"/>
      <c r="O143" s="63"/>
      <c r="P143" s="63"/>
      <c r="Q143" s="63"/>
      <c r="R143" s="63"/>
      <c r="S143" s="63"/>
      <c r="T143" s="63"/>
      <c r="U143" s="63"/>
      <c r="V143" s="63"/>
      <c r="W143" s="63"/>
      <c r="X143" s="63"/>
      <c r="Y143" s="63"/>
      <c r="Z143" s="63"/>
      <c r="AA143" s="63"/>
      <c r="AB143" s="63"/>
      <c r="AC143" s="63"/>
    </row>
    <row r="144" spans="1:29" ht="15.75">
      <c r="A144" s="59"/>
      <c r="B144" s="61"/>
      <c r="C144" s="62"/>
      <c r="D144" s="62"/>
      <c r="E144" s="62"/>
      <c r="F144" s="62"/>
      <c r="G144" s="63"/>
      <c r="H144" s="63"/>
      <c r="I144" s="63"/>
      <c r="J144" s="63"/>
      <c r="K144" s="63"/>
      <c r="L144" s="63"/>
      <c r="M144" s="63"/>
      <c r="N144" s="63"/>
      <c r="O144" s="63"/>
      <c r="P144" s="63"/>
      <c r="Q144" s="63"/>
      <c r="R144" s="63"/>
      <c r="S144" s="63"/>
      <c r="T144" s="63"/>
      <c r="U144" s="63"/>
      <c r="V144" s="63"/>
      <c r="W144" s="63"/>
      <c r="X144" s="63"/>
      <c r="Y144" s="63"/>
      <c r="Z144" s="63"/>
      <c r="AA144" s="63"/>
      <c r="AB144" s="63"/>
      <c r="AC144" s="63"/>
    </row>
    <row r="145" spans="1:29" ht="15.75">
      <c r="A145" s="59"/>
      <c r="B145" s="61"/>
      <c r="C145" s="62"/>
      <c r="D145" s="62"/>
      <c r="E145" s="62"/>
      <c r="F145" s="62"/>
      <c r="G145" s="63"/>
      <c r="H145" s="63"/>
      <c r="I145" s="63"/>
      <c r="J145" s="63"/>
      <c r="K145" s="63"/>
      <c r="L145" s="63"/>
      <c r="M145" s="63"/>
      <c r="N145" s="63"/>
      <c r="O145" s="63"/>
      <c r="P145" s="63"/>
      <c r="Q145" s="63"/>
      <c r="R145" s="63"/>
      <c r="S145" s="63"/>
      <c r="T145" s="63"/>
      <c r="U145" s="63"/>
      <c r="V145" s="63"/>
      <c r="W145" s="63"/>
      <c r="X145" s="63"/>
      <c r="Y145" s="63"/>
      <c r="Z145" s="63"/>
      <c r="AA145" s="63"/>
      <c r="AB145" s="63"/>
      <c r="AC145" s="63"/>
    </row>
    <row r="146" spans="1:29" ht="15.75">
      <c r="A146" s="59"/>
      <c r="B146" s="61"/>
      <c r="C146" s="62"/>
      <c r="D146" s="62"/>
      <c r="E146" s="62"/>
      <c r="F146" s="62"/>
      <c r="G146" s="63"/>
      <c r="H146" s="63"/>
      <c r="I146" s="63"/>
      <c r="J146" s="63"/>
      <c r="K146" s="63"/>
      <c r="L146" s="63"/>
      <c r="M146" s="63"/>
      <c r="N146" s="63"/>
      <c r="O146" s="63"/>
      <c r="P146" s="63"/>
      <c r="Q146" s="63"/>
      <c r="R146" s="63"/>
      <c r="S146" s="63"/>
      <c r="T146" s="63"/>
      <c r="U146" s="63"/>
      <c r="V146" s="63"/>
      <c r="W146" s="63"/>
      <c r="X146" s="63"/>
      <c r="Y146" s="63"/>
      <c r="Z146" s="63"/>
      <c r="AA146" s="63"/>
      <c r="AB146" s="63"/>
      <c r="AC146" s="63"/>
    </row>
    <row r="147" spans="1:29" ht="15.75">
      <c r="A147" s="59"/>
      <c r="B147" s="61"/>
      <c r="C147" s="62"/>
      <c r="D147" s="62"/>
      <c r="E147" s="62"/>
      <c r="F147" s="62"/>
      <c r="G147" s="63"/>
      <c r="H147" s="63"/>
      <c r="I147" s="63"/>
      <c r="J147" s="63"/>
      <c r="K147" s="63"/>
      <c r="L147" s="63"/>
      <c r="M147" s="63"/>
      <c r="N147" s="63"/>
      <c r="O147" s="63"/>
      <c r="P147" s="63"/>
      <c r="Q147" s="63"/>
      <c r="R147" s="63"/>
      <c r="S147" s="63"/>
      <c r="T147" s="63"/>
      <c r="U147" s="63"/>
      <c r="V147" s="63"/>
      <c r="W147" s="63"/>
      <c r="X147" s="63"/>
      <c r="Y147" s="63"/>
      <c r="Z147" s="63"/>
      <c r="AA147" s="63"/>
      <c r="AB147" s="63"/>
      <c r="AC147" s="63"/>
    </row>
    <row r="148" spans="1:29" ht="15.75">
      <c r="A148" s="59"/>
      <c r="B148" s="61"/>
      <c r="C148" s="62"/>
      <c r="D148" s="62"/>
      <c r="E148" s="62"/>
      <c r="F148" s="62"/>
      <c r="G148" s="63"/>
      <c r="H148" s="63"/>
      <c r="I148" s="63"/>
      <c r="J148" s="63"/>
      <c r="K148" s="63"/>
      <c r="L148" s="63"/>
      <c r="M148" s="63"/>
      <c r="N148" s="63"/>
      <c r="O148" s="63"/>
      <c r="P148" s="63"/>
      <c r="Q148" s="63"/>
      <c r="R148" s="63"/>
      <c r="S148" s="63"/>
      <c r="T148" s="63"/>
      <c r="U148" s="63"/>
      <c r="V148" s="63"/>
      <c r="W148" s="63"/>
      <c r="X148" s="63"/>
      <c r="Y148" s="63"/>
      <c r="Z148" s="63"/>
      <c r="AA148" s="63"/>
      <c r="AB148" s="63"/>
      <c r="AC148" s="63"/>
    </row>
    <row r="149" spans="1:29" ht="15.75">
      <c r="A149" s="59"/>
      <c r="B149" s="61"/>
      <c r="C149" s="62"/>
      <c r="D149" s="62"/>
      <c r="E149" s="62"/>
      <c r="F149" s="62"/>
      <c r="G149" s="63"/>
      <c r="H149" s="63"/>
      <c r="I149" s="63"/>
      <c r="J149" s="63"/>
      <c r="K149" s="63"/>
      <c r="L149" s="63"/>
      <c r="M149" s="63"/>
      <c r="N149" s="63"/>
      <c r="O149" s="63"/>
      <c r="P149" s="63"/>
      <c r="Q149" s="63"/>
      <c r="R149" s="63"/>
      <c r="S149" s="63"/>
      <c r="T149" s="63"/>
      <c r="U149" s="63"/>
      <c r="V149" s="63"/>
      <c r="W149" s="63"/>
      <c r="X149" s="63"/>
      <c r="Y149" s="63"/>
      <c r="Z149" s="63"/>
      <c r="AA149" s="63"/>
      <c r="AB149" s="63"/>
      <c r="AC149" s="63"/>
    </row>
    <row r="150" spans="1:29" ht="15.75">
      <c r="A150" s="59"/>
      <c r="B150" s="61"/>
      <c r="C150" s="62"/>
      <c r="D150" s="62"/>
      <c r="E150" s="62"/>
      <c r="F150" s="62"/>
      <c r="G150" s="63"/>
      <c r="H150" s="63"/>
      <c r="I150" s="63"/>
      <c r="J150" s="63"/>
      <c r="K150" s="63"/>
      <c r="L150" s="63"/>
      <c r="M150" s="63"/>
      <c r="N150" s="63"/>
      <c r="O150" s="63"/>
      <c r="P150" s="63"/>
      <c r="Q150" s="63"/>
      <c r="R150" s="63"/>
      <c r="S150" s="63"/>
      <c r="T150" s="63"/>
      <c r="U150" s="63"/>
      <c r="V150" s="63"/>
      <c r="W150" s="63"/>
      <c r="X150" s="63"/>
      <c r="Y150" s="63"/>
      <c r="Z150" s="63"/>
      <c r="AA150" s="63"/>
      <c r="AB150" s="63"/>
      <c r="AC150" s="63"/>
    </row>
    <row r="151" spans="1:29" ht="15.75">
      <c r="A151" s="59"/>
      <c r="B151" s="61"/>
      <c r="C151" s="62"/>
      <c r="D151" s="62"/>
      <c r="E151" s="62"/>
      <c r="F151" s="62"/>
      <c r="G151" s="63"/>
      <c r="H151" s="63"/>
      <c r="I151" s="63"/>
      <c r="J151" s="63"/>
      <c r="K151" s="63"/>
      <c r="L151" s="63"/>
      <c r="M151" s="63"/>
      <c r="N151" s="63"/>
      <c r="O151" s="63"/>
      <c r="P151" s="63"/>
      <c r="Q151" s="63"/>
      <c r="R151" s="63"/>
      <c r="S151" s="63"/>
      <c r="T151" s="63"/>
      <c r="U151" s="63"/>
      <c r="V151" s="63"/>
      <c r="W151" s="63"/>
      <c r="X151" s="63"/>
      <c r="Y151" s="63"/>
      <c r="Z151" s="63"/>
      <c r="AA151" s="63"/>
      <c r="AB151" s="63"/>
      <c r="AC151" s="63"/>
    </row>
    <row r="152" spans="1:29" ht="15.75">
      <c r="A152" s="59"/>
      <c r="B152" s="61"/>
      <c r="C152" s="62"/>
      <c r="D152" s="62"/>
      <c r="E152" s="62"/>
      <c r="F152" s="62"/>
      <c r="G152" s="63"/>
      <c r="H152" s="63"/>
      <c r="I152" s="63"/>
      <c r="J152" s="63"/>
      <c r="K152" s="63"/>
      <c r="L152" s="63"/>
      <c r="M152" s="63"/>
      <c r="N152" s="63"/>
      <c r="O152" s="63"/>
      <c r="P152" s="63"/>
      <c r="Q152" s="63"/>
      <c r="R152" s="63"/>
      <c r="S152" s="63"/>
      <c r="T152" s="63"/>
      <c r="U152" s="63"/>
      <c r="V152" s="63"/>
      <c r="W152" s="63"/>
      <c r="X152" s="63"/>
      <c r="Y152" s="63"/>
      <c r="Z152" s="63"/>
      <c r="AA152" s="63"/>
      <c r="AB152" s="63"/>
      <c r="AC152" s="63"/>
    </row>
    <row r="153" spans="1:29" ht="15.75">
      <c r="A153" s="59"/>
      <c r="B153" s="61"/>
      <c r="C153" s="62"/>
      <c r="D153" s="62"/>
      <c r="E153" s="62"/>
      <c r="F153" s="62"/>
      <c r="G153" s="63"/>
      <c r="H153" s="63"/>
      <c r="I153" s="63"/>
      <c r="J153" s="63"/>
      <c r="K153" s="63"/>
      <c r="L153" s="63"/>
      <c r="M153" s="63"/>
      <c r="N153" s="63"/>
      <c r="O153" s="63"/>
      <c r="P153" s="63"/>
      <c r="Q153" s="63"/>
      <c r="R153" s="63"/>
      <c r="S153" s="63"/>
      <c r="T153" s="63"/>
      <c r="U153" s="63"/>
      <c r="V153" s="63"/>
      <c r="W153" s="63"/>
      <c r="X153" s="63"/>
      <c r="Y153" s="63"/>
      <c r="Z153" s="63"/>
      <c r="AA153" s="63"/>
      <c r="AB153" s="63"/>
      <c r="AC153" s="63"/>
    </row>
    <row r="154" spans="1:29" ht="15.75">
      <c r="A154" s="59"/>
      <c r="B154" s="61"/>
      <c r="C154" s="62"/>
      <c r="D154" s="62"/>
      <c r="E154" s="62"/>
      <c r="F154" s="62"/>
      <c r="G154" s="63"/>
      <c r="H154" s="63"/>
      <c r="I154" s="63"/>
      <c r="J154" s="63"/>
      <c r="K154" s="63"/>
      <c r="L154" s="63"/>
      <c r="M154" s="63"/>
      <c r="N154" s="63"/>
      <c r="O154" s="63"/>
      <c r="P154" s="63"/>
      <c r="Q154" s="63"/>
      <c r="R154" s="63"/>
      <c r="S154" s="63"/>
      <c r="T154" s="63"/>
      <c r="U154" s="63"/>
      <c r="V154" s="63"/>
      <c r="W154" s="63"/>
      <c r="X154" s="63"/>
      <c r="Y154" s="63"/>
      <c r="Z154" s="63"/>
      <c r="AA154" s="63"/>
      <c r="AB154" s="63"/>
      <c r="AC154" s="63"/>
    </row>
    <row r="155" spans="1:29" ht="15.75">
      <c r="A155" s="59"/>
      <c r="B155" s="61"/>
      <c r="C155" s="62"/>
      <c r="D155" s="62"/>
      <c r="E155" s="62"/>
      <c r="F155" s="62"/>
      <c r="G155" s="63"/>
      <c r="H155" s="63"/>
      <c r="I155" s="63"/>
      <c r="J155" s="63"/>
      <c r="K155" s="63"/>
      <c r="L155" s="63"/>
      <c r="M155" s="63"/>
      <c r="N155" s="63"/>
      <c r="O155" s="63"/>
      <c r="P155" s="63"/>
      <c r="Q155" s="63"/>
      <c r="R155" s="63"/>
      <c r="S155" s="63"/>
      <c r="T155" s="63"/>
      <c r="U155" s="63"/>
      <c r="V155" s="63"/>
      <c r="W155" s="63"/>
      <c r="X155" s="63"/>
      <c r="Y155" s="63"/>
      <c r="Z155" s="63"/>
      <c r="AA155" s="63"/>
      <c r="AB155" s="63"/>
      <c r="AC155" s="63"/>
    </row>
    <row r="156" spans="1:29" ht="15.75">
      <c r="A156" s="59"/>
      <c r="B156" s="61"/>
      <c r="C156" s="62"/>
      <c r="D156" s="62"/>
      <c r="E156" s="62"/>
      <c r="F156" s="62"/>
      <c r="G156" s="63"/>
      <c r="H156" s="63"/>
      <c r="I156" s="63"/>
      <c r="J156" s="63"/>
      <c r="K156" s="63"/>
      <c r="L156" s="63"/>
      <c r="M156" s="63"/>
      <c r="N156" s="63"/>
      <c r="O156" s="63"/>
      <c r="P156" s="63"/>
      <c r="Q156" s="63"/>
      <c r="R156" s="63"/>
      <c r="S156" s="63"/>
      <c r="T156" s="63"/>
      <c r="U156" s="63"/>
      <c r="V156" s="63"/>
      <c r="W156" s="63"/>
      <c r="X156" s="63"/>
      <c r="Y156" s="63"/>
      <c r="Z156" s="63"/>
      <c r="AA156" s="63"/>
      <c r="AB156" s="63"/>
      <c r="AC156" s="63"/>
    </row>
    <row r="157" spans="1:29" ht="15.75">
      <c r="A157" s="59"/>
      <c r="B157" s="61"/>
      <c r="C157" s="62"/>
      <c r="D157" s="62"/>
      <c r="E157" s="62"/>
      <c r="F157" s="62"/>
      <c r="G157" s="63"/>
      <c r="H157" s="63"/>
      <c r="I157" s="63"/>
      <c r="J157" s="63"/>
      <c r="K157" s="63"/>
      <c r="L157" s="63"/>
      <c r="M157" s="63"/>
      <c r="N157" s="63"/>
      <c r="O157" s="63"/>
      <c r="P157" s="63"/>
      <c r="Q157" s="63"/>
      <c r="R157" s="63"/>
      <c r="S157" s="63"/>
      <c r="T157" s="63"/>
      <c r="U157" s="63"/>
      <c r="V157" s="63"/>
      <c r="W157" s="63"/>
      <c r="X157" s="63"/>
      <c r="Y157" s="63"/>
      <c r="Z157" s="63"/>
      <c r="AA157" s="63"/>
      <c r="AB157" s="63"/>
      <c r="AC157" s="63"/>
    </row>
    <row r="158" spans="1:29" ht="15.75">
      <c r="A158" s="59"/>
      <c r="B158" s="61"/>
      <c r="C158" s="62"/>
      <c r="D158" s="62"/>
      <c r="E158" s="62"/>
      <c r="F158" s="62"/>
      <c r="G158" s="63"/>
      <c r="H158" s="63"/>
      <c r="I158" s="63"/>
      <c r="J158" s="63"/>
      <c r="K158" s="63"/>
      <c r="L158" s="63"/>
      <c r="M158" s="63"/>
      <c r="N158" s="63"/>
      <c r="O158" s="63"/>
      <c r="P158" s="63"/>
      <c r="Q158" s="63"/>
      <c r="R158" s="63"/>
      <c r="S158" s="63"/>
      <c r="T158" s="63"/>
      <c r="U158" s="63"/>
      <c r="V158" s="63"/>
      <c r="W158" s="63"/>
      <c r="X158" s="63"/>
      <c r="Y158" s="63"/>
      <c r="Z158" s="63"/>
      <c r="AA158" s="63"/>
      <c r="AB158" s="63"/>
      <c r="AC158" s="63"/>
    </row>
    <row r="159" spans="1:29" ht="15.75">
      <c r="A159" s="59"/>
      <c r="B159" s="61"/>
      <c r="C159" s="62"/>
      <c r="D159" s="62"/>
      <c r="E159" s="62"/>
      <c r="F159" s="62"/>
      <c r="G159" s="63"/>
      <c r="H159" s="63"/>
      <c r="I159" s="63"/>
      <c r="J159" s="63"/>
      <c r="K159" s="63"/>
      <c r="L159" s="63"/>
      <c r="M159" s="63"/>
      <c r="N159" s="63"/>
      <c r="O159" s="63"/>
      <c r="P159" s="63"/>
      <c r="Q159" s="63"/>
      <c r="R159" s="63"/>
      <c r="S159" s="63"/>
      <c r="T159" s="63"/>
      <c r="U159" s="63"/>
      <c r="V159" s="63"/>
      <c r="W159" s="63"/>
      <c r="X159" s="63"/>
      <c r="Y159" s="63"/>
      <c r="Z159" s="63"/>
      <c r="AA159" s="63"/>
      <c r="AB159" s="63"/>
      <c r="AC159" s="63"/>
    </row>
    <row r="160" spans="1:29" ht="15.75">
      <c r="A160" s="59"/>
      <c r="B160" s="61"/>
      <c r="C160" s="62"/>
      <c r="D160" s="62"/>
      <c r="E160" s="62"/>
      <c r="F160" s="62"/>
      <c r="G160" s="63"/>
      <c r="H160" s="63"/>
      <c r="I160" s="63"/>
      <c r="J160" s="63"/>
      <c r="K160" s="63"/>
      <c r="L160" s="63"/>
      <c r="M160" s="63"/>
      <c r="N160" s="63"/>
      <c r="O160" s="63"/>
      <c r="P160" s="63"/>
      <c r="Q160" s="63"/>
      <c r="R160" s="63"/>
      <c r="S160" s="63"/>
      <c r="T160" s="63"/>
      <c r="U160" s="63"/>
      <c r="V160" s="63"/>
      <c r="W160" s="63"/>
      <c r="X160" s="63"/>
      <c r="Y160" s="63"/>
      <c r="Z160" s="63"/>
      <c r="AA160" s="63"/>
      <c r="AB160" s="63"/>
      <c r="AC160" s="63"/>
    </row>
    <row r="161" spans="1:29" ht="15.75">
      <c r="A161" s="59"/>
      <c r="B161" s="61"/>
      <c r="C161" s="62"/>
      <c r="D161" s="62"/>
      <c r="E161" s="62"/>
      <c r="F161" s="62"/>
      <c r="G161" s="63"/>
      <c r="H161" s="63"/>
      <c r="I161" s="63"/>
      <c r="J161" s="63"/>
      <c r="K161" s="63"/>
      <c r="L161" s="63"/>
      <c r="M161" s="63"/>
      <c r="N161" s="63"/>
      <c r="O161" s="63"/>
      <c r="P161" s="63"/>
      <c r="Q161" s="63"/>
      <c r="R161" s="63"/>
      <c r="S161" s="63"/>
      <c r="T161" s="63"/>
      <c r="U161" s="63"/>
      <c r="V161" s="63"/>
      <c r="W161" s="63"/>
      <c r="X161" s="63"/>
      <c r="Y161" s="63"/>
      <c r="Z161" s="63"/>
      <c r="AA161" s="63"/>
      <c r="AB161" s="63"/>
      <c r="AC161" s="63"/>
    </row>
    <row r="162" spans="1:29" ht="15.75">
      <c r="A162" s="59"/>
      <c r="B162" s="61"/>
      <c r="C162" s="62"/>
      <c r="D162" s="62"/>
      <c r="E162" s="62"/>
      <c r="F162" s="62"/>
      <c r="G162" s="63"/>
      <c r="H162" s="63"/>
      <c r="I162" s="63"/>
      <c r="J162" s="63"/>
      <c r="K162" s="63"/>
      <c r="L162" s="63"/>
      <c r="M162" s="63"/>
      <c r="N162" s="63"/>
      <c r="O162" s="63"/>
      <c r="P162" s="63"/>
      <c r="Q162" s="63"/>
      <c r="R162" s="63"/>
      <c r="S162" s="63"/>
      <c r="T162" s="63"/>
      <c r="U162" s="63"/>
      <c r="V162" s="63"/>
      <c r="W162" s="63"/>
      <c r="X162" s="63"/>
      <c r="Y162" s="63"/>
      <c r="Z162" s="63"/>
      <c r="AA162" s="63"/>
      <c r="AB162" s="63"/>
      <c r="AC162" s="63"/>
    </row>
    <row r="163" spans="1:29" ht="15.75">
      <c r="A163" s="59"/>
      <c r="B163" s="61"/>
      <c r="C163" s="62"/>
      <c r="D163" s="62"/>
      <c r="E163" s="62"/>
      <c r="F163" s="62"/>
      <c r="G163" s="63"/>
      <c r="H163" s="63"/>
      <c r="I163" s="63"/>
      <c r="J163" s="63"/>
      <c r="K163" s="63"/>
      <c r="L163" s="63"/>
      <c r="M163" s="63"/>
      <c r="N163" s="63"/>
      <c r="O163" s="63"/>
      <c r="P163" s="63"/>
      <c r="Q163" s="63"/>
      <c r="R163" s="63"/>
      <c r="S163" s="63"/>
      <c r="T163" s="63"/>
      <c r="U163" s="63"/>
      <c r="V163" s="63"/>
      <c r="W163" s="63"/>
      <c r="X163" s="63"/>
      <c r="Y163" s="63"/>
      <c r="Z163" s="63"/>
      <c r="AA163" s="63"/>
      <c r="AB163" s="63"/>
      <c r="AC163" s="63"/>
    </row>
    <row r="164" spans="1:29" ht="15.75">
      <c r="A164" s="59"/>
      <c r="B164" s="61"/>
      <c r="C164" s="62"/>
      <c r="D164" s="62"/>
      <c r="E164" s="62"/>
      <c r="F164" s="62"/>
      <c r="G164" s="63"/>
      <c r="H164" s="63"/>
      <c r="I164" s="63"/>
      <c r="J164" s="63"/>
      <c r="K164" s="63"/>
      <c r="L164" s="63"/>
      <c r="M164" s="63"/>
      <c r="N164" s="63"/>
      <c r="O164" s="63"/>
      <c r="P164" s="63"/>
      <c r="Q164" s="63"/>
      <c r="R164" s="63"/>
      <c r="S164" s="63"/>
      <c r="T164" s="63"/>
      <c r="U164" s="63"/>
      <c r="V164" s="63"/>
      <c r="W164" s="63"/>
      <c r="X164" s="63"/>
      <c r="Y164" s="63"/>
      <c r="Z164" s="63"/>
      <c r="AA164" s="63"/>
      <c r="AB164" s="63"/>
      <c r="AC164" s="63"/>
    </row>
    <row r="165" spans="1:29" ht="15.75">
      <c r="A165" s="59"/>
      <c r="B165" s="61"/>
      <c r="C165" s="62"/>
      <c r="D165" s="62"/>
      <c r="E165" s="62"/>
      <c r="F165" s="62"/>
      <c r="G165" s="63"/>
      <c r="H165" s="63"/>
      <c r="I165" s="63"/>
      <c r="J165" s="63"/>
      <c r="K165" s="63"/>
      <c r="L165" s="63"/>
      <c r="M165" s="63"/>
      <c r="N165" s="63"/>
      <c r="O165" s="63"/>
      <c r="P165" s="63"/>
      <c r="Q165" s="63"/>
      <c r="R165" s="63"/>
      <c r="S165" s="63"/>
      <c r="T165" s="63"/>
      <c r="U165" s="63"/>
      <c r="V165" s="63"/>
      <c r="W165" s="63"/>
      <c r="X165" s="63"/>
      <c r="Y165" s="63"/>
      <c r="Z165" s="63"/>
      <c r="AA165" s="63"/>
      <c r="AB165" s="63"/>
      <c r="AC165" s="63"/>
    </row>
    <row r="166" spans="1:29" ht="15.75">
      <c r="A166" s="59"/>
      <c r="B166" s="61"/>
      <c r="C166" s="62"/>
      <c r="D166" s="62"/>
      <c r="E166" s="62"/>
      <c r="F166" s="62"/>
      <c r="G166" s="63"/>
      <c r="H166" s="63"/>
      <c r="I166" s="63"/>
      <c r="J166" s="63"/>
      <c r="K166" s="63"/>
      <c r="L166" s="63"/>
      <c r="M166" s="63"/>
      <c r="N166" s="63"/>
      <c r="O166" s="63"/>
      <c r="P166" s="63"/>
      <c r="Q166" s="63"/>
      <c r="R166" s="63"/>
      <c r="S166" s="63"/>
      <c r="T166" s="63"/>
      <c r="U166" s="63"/>
      <c r="V166" s="63"/>
      <c r="W166" s="63"/>
      <c r="X166" s="63"/>
      <c r="Y166" s="63"/>
      <c r="Z166" s="63"/>
      <c r="AA166" s="63"/>
      <c r="AB166" s="63"/>
      <c r="AC166" s="63"/>
    </row>
    <row r="167" spans="1:29" ht="15.75">
      <c r="A167" s="59"/>
      <c r="B167" s="61"/>
      <c r="C167" s="62"/>
      <c r="D167" s="62"/>
      <c r="E167" s="62"/>
      <c r="F167" s="62"/>
      <c r="G167" s="63"/>
      <c r="H167" s="63"/>
      <c r="I167" s="63"/>
      <c r="J167" s="63"/>
      <c r="K167" s="63"/>
      <c r="L167" s="63"/>
      <c r="M167" s="63"/>
      <c r="N167" s="63"/>
      <c r="O167" s="63"/>
      <c r="P167" s="63"/>
      <c r="Q167" s="63"/>
      <c r="R167" s="63"/>
      <c r="S167" s="63"/>
      <c r="T167" s="63"/>
      <c r="U167" s="63"/>
      <c r="V167" s="63"/>
      <c r="W167" s="63"/>
      <c r="X167" s="63"/>
      <c r="Y167" s="63"/>
      <c r="Z167" s="63"/>
      <c r="AA167" s="63"/>
      <c r="AB167" s="63"/>
      <c r="AC167" s="63"/>
    </row>
    <row r="168" spans="1:29" ht="15.75">
      <c r="A168" s="59"/>
      <c r="B168" s="61"/>
      <c r="C168" s="62"/>
      <c r="D168" s="62"/>
      <c r="E168" s="62"/>
      <c r="F168" s="62"/>
      <c r="G168" s="63"/>
      <c r="H168" s="63"/>
      <c r="I168" s="63"/>
      <c r="J168" s="63"/>
      <c r="K168" s="63"/>
      <c r="L168" s="63"/>
      <c r="M168" s="63"/>
      <c r="N168" s="63"/>
      <c r="O168" s="63"/>
      <c r="P168" s="63"/>
      <c r="Q168" s="63"/>
      <c r="R168" s="63"/>
      <c r="S168" s="63"/>
      <c r="T168" s="63"/>
      <c r="U168" s="63"/>
      <c r="V168" s="63"/>
      <c r="W168" s="63"/>
      <c r="X168" s="63"/>
      <c r="Y168" s="63"/>
      <c r="Z168" s="63"/>
      <c r="AA168" s="63"/>
      <c r="AB168" s="63"/>
      <c r="AC168" s="63"/>
    </row>
    <row r="169" spans="1:29" ht="15.75">
      <c r="A169" s="59"/>
      <c r="B169" s="61"/>
      <c r="C169" s="62"/>
      <c r="D169" s="62"/>
      <c r="E169" s="62"/>
      <c r="F169" s="62"/>
      <c r="G169" s="63"/>
      <c r="H169" s="63"/>
      <c r="I169" s="63"/>
      <c r="J169" s="63"/>
      <c r="K169" s="63"/>
      <c r="L169" s="63"/>
      <c r="M169" s="63"/>
      <c r="N169" s="63"/>
      <c r="O169" s="63"/>
      <c r="P169" s="63"/>
      <c r="Q169" s="63"/>
      <c r="R169" s="63"/>
      <c r="S169" s="63"/>
      <c r="T169" s="63"/>
      <c r="U169" s="63"/>
      <c r="V169" s="63"/>
      <c r="W169" s="63"/>
      <c r="X169" s="63"/>
      <c r="Y169" s="63"/>
      <c r="Z169" s="63"/>
      <c r="AA169" s="63"/>
      <c r="AB169" s="63"/>
      <c r="AC169" s="63"/>
    </row>
    <row r="170" spans="1:29" ht="15.75">
      <c r="A170" s="59"/>
      <c r="B170" s="61"/>
      <c r="C170" s="62"/>
      <c r="D170" s="62"/>
      <c r="E170" s="62"/>
      <c r="F170" s="62"/>
      <c r="G170" s="63"/>
      <c r="H170" s="63"/>
      <c r="I170" s="63"/>
      <c r="J170" s="63"/>
      <c r="K170" s="63"/>
      <c r="L170" s="63"/>
      <c r="M170" s="63"/>
      <c r="N170" s="63"/>
      <c r="O170" s="63"/>
      <c r="P170" s="63"/>
      <c r="Q170" s="63"/>
      <c r="R170" s="63"/>
      <c r="S170" s="63"/>
      <c r="T170" s="63"/>
      <c r="U170" s="63"/>
      <c r="V170" s="63"/>
      <c r="W170" s="63"/>
      <c r="X170" s="63"/>
      <c r="Y170" s="63"/>
      <c r="Z170" s="63"/>
      <c r="AA170" s="63"/>
      <c r="AB170" s="63"/>
      <c r="AC170" s="63"/>
    </row>
    <row r="171" spans="1:29" ht="15.75">
      <c r="A171" s="59"/>
      <c r="B171" s="61"/>
      <c r="C171" s="62"/>
      <c r="D171" s="62"/>
      <c r="E171" s="62"/>
      <c r="F171" s="62"/>
      <c r="G171" s="63"/>
      <c r="H171" s="63"/>
      <c r="I171" s="63"/>
      <c r="J171" s="63"/>
      <c r="K171" s="63"/>
      <c r="L171" s="63"/>
      <c r="M171" s="63"/>
      <c r="N171" s="63"/>
      <c r="O171" s="63"/>
      <c r="P171" s="63"/>
      <c r="Q171" s="63"/>
      <c r="R171" s="63"/>
      <c r="S171" s="63"/>
      <c r="T171" s="63"/>
      <c r="U171" s="63"/>
      <c r="V171" s="63"/>
      <c r="W171" s="63"/>
      <c r="X171" s="63"/>
      <c r="Y171" s="63"/>
      <c r="Z171" s="63"/>
      <c r="AA171" s="63"/>
      <c r="AB171" s="63"/>
      <c r="AC171" s="63"/>
    </row>
    <row r="172" spans="1:29" ht="15.75">
      <c r="A172" s="59"/>
      <c r="B172" s="61"/>
      <c r="C172" s="62"/>
      <c r="D172" s="62"/>
      <c r="E172" s="62"/>
      <c r="F172" s="62"/>
      <c r="G172" s="63"/>
      <c r="H172" s="63"/>
      <c r="I172" s="63"/>
      <c r="J172" s="63"/>
      <c r="K172" s="63"/>
      <c r="L172" s="63"/>
      <c r="M172" s="63"/>
      <c r="N172" s="63"/>
      <c r="O172" s="63"/>
      <c r="P172" s="63"/>
      <c r="Q172" s="63"/>
      <c r="R172" s="63"/>
      <c r="S172" s="63"/>
      <c r="T172" s="63"/>
      <c r="U172" s="63"/>
      <c r="V172" s="63"/>
      <c r="W172" s="63"/>
      <c r="X172" s="63"/>
      <c r="Y172" s="63"/>
      <c r="Z172" s="63"/>
      <c r="AA172" s="63"/>
      <c r="AB172" s="63"/>
      <c r="AC172" s="63"/>
    </row>
    <row r="173" spans="1:29" ht="15.75">
      <c r="A173" s="59"/>
      <c r="B173" s="61"/>
      <c r="C173" s="62"/>
      <c r="D173" s="62"/>
      <c r="E173" s="62"/>
      <c r="F173" s="62"/>
      <c r="G173" s="63"/>
      <c r="H173" s="63"/>
      <c r="I173" s="63"/>
      <c r="J173" s="63"/>
      <c r="K173" s="63"/>
      <c r="L173" s="63"/>
      <c r="M173" s="63"/>
      <c r="N173" s="63"/>
      <c r="O173" s="63"/>
      <c r="P173" s="63"/>
      <c r="Q173" s="63"/>
      <c r="R173" s="63"/>
      <c r="S173" s="63"/>
      <c r="T173" s="63"/>
      <c r="U173" s="63"/>
      <c r="V173" s="63"/>
      <c r="W173" s="63"/>
      <c r="X173" s="63"/>
      <c r="Y173" s="63"/>
      <c r="Z173" s="63"/>
      <c r="AA173" s="63"/>
      <c r="AB173" s="63"/>
      <c r="AC173" s="63"/>
    </row>
    <row r="174" spans="1:29" ht="15.75">
      <c r="A174" s="59"/>
      <c r="B174" s="61"/>
      <c r="C174" s="62"/>
      <c r="D174" s="62"/>
      <c r="E174" s="62"/>
      <c r="F174" s="62"/>
      <c r="G174" s="63"/>
      <c r="H174" s="63"/>
      <c r="I174" s="63"/>
      <c r="J174" s="63"/>
      <c r="K174" s="63"/>
      <c r="L174" s="63"/>
      <c r="M174" s="63"/>
      <c r="N174" s="63"/>
      <c r="O174" s="63"/>
      <c r="P174" s="63"/>
      <c r="Q174" s="63"/>
      <c r="R174" s="63"/>
      <c r="S174" s="63"/>
      <c r="T174" s="63"/>
      <c r="U174" s="63"/>
      <c r="V174" s="63"/>
      <c r="W174" s="63"/>
      <c r="X174" s="63"/>
      <c r="Y174" s="63"/>
      <c r="Z174" s="63"/>
      <c r="AA174" s="63"/>
      <c r="AB174" s="63"/>
      <c r="AC174" s="63"/>
    </row>
    <row r="175" spans="1:29" ht="15.75">
      <c r="A175" s="59"/>
      <c r="B175" s="61"/>
      <c r="C175" s="62"/>
      <c r="D175" s="62"/>
      <c r="E175" s="62"/>
      <c r="F175" s="62"/>
      <c r="G175" s="63"/>
      <c r="H175" s="63"/>
      <c r="I175" s="63"/>
      <c r="J175" s="63"/>
      <c r="K175" s="63"/>
      <c r="L175" s="63"/>
      <c r="M175" s="63"/>
      <c r="N175" s="63"/>
      <c r="O175" s="63"/>
      <c r="P175" s="63"/>
      <c r="Q175" s="63"/>
      <c r="R175" s="63"/>
      <c r="S175" s="63"/>
      <c r="T175" s="63"/>
      <c r="U175" s="63"/>
      <c r="V175" s="63"/>
      <c r="W175" s="63"/>
      <c r="X175" s="63"/>
      <c r="Y175" s="63"/>
      <c r="Z175" s="63"/>
      <c r="AA175" s="63"/>
      <c r="AB175" s="63"/>
      <c r="AC175" s="63"/>
    </row>
    <row r="176" spans="1:29" ht="15.75">
      <c r="A176" s="59"/>
      <c r="B176" s="61"/>
      <c r="C176" s="62"/>
      <c r="D176" s="62"/>
      <c r="E176" s="62"/>
      <c r="F176" s="62"/>
      <c r="G176" s="63"/>
      <c r="H176" s="63"/>
      <c r="I176" s="63"/>
      <c r="J176" s="63"/>
      <c r="K176" s="63"/>
      <c r="L176" s="63"/>
      <c r="M176" s="63"/>
      <c r="N176" s="63"/>
      <c r="O176" s="63"/>
      <c r="P176" s="63"/>
      <c r="Q176" s="63"/>
      <c r="R176" s="63"/>
      <c r="S176" s="63"/>
      <c r="T176" s="63"/>
      <c r="U176" s="63"/>
      <c r="V176" s="63"/>
      <c r="W176" s="63"/>
      <c r="X176" s="63"/>
      <c r="Y176" s="63"/>
      <c r="Z176" s="63"/>
      <c r="AA176" s="63"/>
      <c r="AB176" s="63"/>
      <c r="AC176" s="63"/>
    </row>
    <row r="177" spans="1:29" ht="15.75">
      <c r="A177" s="59"/>
      <c r="B177" s="61"/>
      <c r="C177" s="62"/>
      <c r="D177" s="62"/>
      <c r="E177" s="62"/>
      <c r="F177" s="62"/>
      <c r="G177" s="63"/>
      <c r="H177" s="63"/>
      <c r="I177" s="63"/>
      <c r="J177" s="63"/>
      <c r="K177" s="63"/>
      <c r="L177" s="63"/>
      <c r="M177" s="63"/>
      <c r="N177" s="63"/>
      <c r="O177" s="63"/>
      <c r="P177" s="63"/>
      <c r="Q177" s="63"/>
      <c r="R177" s="63"/>
      <c r="S177" s="63"/>
      <c r="T177" s="63"/>
      <c r="U177" s="63"/>
      <c r="V177" s="63"/>
      <c r="W177" s="63"/>
      <c r="X177" s="63"/>
      <c r="Y177" s="63"/>
      <c r="Z177" s="63"/>
      <c r="AA177" s="63"/>
      <c r="AB177" s="63"/>
      <c r="AC177" s="63"/>
    </row>
    <row r="178" spans="1:29" ht="15.75">
      <c r="A178" s="59"/>
      <c r="B178" s="61"/>
      <c r="C178" s="62"/>
      <c r="D178" s="62"/>
      <c r="E178" s="62"/>
      <c r="F178" s="62"/>
      <c r="G178" s="63"/>
      <c r="H178" s="63"/>
      <c r="I178" s="63"/>
      <c r="J178" s="63"/>
      <c r="K178" s="63"/>
      <c r="L178" s="63"/>
      <c r="M178" s="63"/>
      <c r="N178" s="63"/>
      <c r="O178" s="63"/>
      <c r="P178" s="63"/>
      <c r="Q178" s="63"/>
      <c r="R178" s="63"/>
      <c r="S178" s="63"/>
      <c r="T178" s="63"/>
      <c r="U178" s="63"/>
      <c r="V178" s="63"/>
      <c r="W178" s="63"/>
      <c r="X178" s="63"/>
      <c r="Y178" s="63"/>
      <c r="Z178" s="63"/>
      <c r="AA178" s="63"/>
      <c r="AB178" s="63"/>
      <c r="AC178" s="63"/>
    </row>
    <row r="179" spans="1:29" ht="15.75">
      <c r="A179" s="59"/>
      <c r="B179" s="61"/>
      <c r="C179" s="62"/>
      <c r="D179" s="62"/>
      <c r="E179" s="62"/>
      <c r="F179" s="62"/>
      <c r="G179" s="63"/>
      <c r="H179" s="63"/>
      <c r="I179" s="63"/>
      <c r="J179" s="63"/>
      <c r="K179" s="63"/>
      <c r="L179" s="63"/>
      <c r="M179" s="63"/>
      <c r="N179" s="63"/>
      <c r="O179" s="63"/>
      <c r="P179" s="63"/>
      <c r="Q179" s="63"/>
      <c r="R179" s="63"/>
      <c r="S179" s="63"/>
      <c r="T179" s="63"/>
      <c r="U179" s="63"/>
      <c r="V179" s="63"/>
      <c r="W179" s="63"/>
      <c r="X179" s="63"/>
      <c r="Y179" s="63"/>
      <c r="Z179" s="63"/>
      <c r="AA179" s="63"/>
      <c r="AB179" s="63"/>
      <c r="AC179" s="63"/>
    </row>
    <row r="180" spans="1:29" ht="15.75">
      <c r="A180" s="59"/>
      <c r="B180" s="61"/>
      <c r="C180" s="62"/>
      <c r="D180" s="62"/>
      <c r="E180" s="62"/>
      <c r="F180" s="62"/>
      <c r="G180" s="63"/>
      <c r="H180" s="63"/>
      <c r="I180" s="63"/>
      <c r="J180" s="63"/>
      <c r="K180" s="63"/>
      <c r="L180" s="63"/>
      <c r="M180" s="63"/>
      <c r="N180" s="63"/>
      <c r="O180" s="63"/>
      <c r="P180" s="63"/>
      <c r="Q180" s="63"/>
      <c r="R180" s="63"/>
      <c r="S180" s="63"/>
      <c r="T180" s="63"/>
      <c r="U180" s="63"/>
      <c r="V180" s="63"/>
      <c r="W180" s="63"/>
      <c r="X180" s="63"/>
      <c r="Y180" s="63"/>
      <c r="Z180" s="63"/>
      <c r="AA180" s="63"/>
      <c r="AB180" s="63"/>
      <c r="AC180" s="63"/>
    </row>
    <row r="181" spans="1:29" ht="15.75">
      <c r="A181" s="59"/>
      <c r="B181" s="61"/>
      <c r="C181" s="62"/>
      <c r="D181" s="62"/>
      <c r="E181" s="62"/>
      <c r="F181" s="62"/>
      <c r="G181" s="63"/>
      <c r="H181" s="63"/>
      <c r="I181" s="63"/>
      <c r="J181" s="63"/>
      <c r="K181" s="63"/>
      <c r="L181" s="63"/>
      <c r="M181" s="63"/>
      <c r="N181" s="63"/>
      <c r="O181" s="63"/>
      <c r="P181" s="63"/>
      <c r="Q181" s="63"/>
      <c r="R181" s="63"/>
      <c r="S181" s="63"/>
      <c r="T181" s="63"/>
      <c r="U181" s="63"/>
      <c r="V181" s="63"/>
      <c r="W181" s="63"/>
      <c r="X181" s="63"/>
      <c r="Y181" s="63"/>
      <c r="Z181" s="63"/>
      <c r="AA181" s="63"/>
      <c r="AB181" s="63"/>
      <c r="AC181" s="63"/>
    </row>
    <row r="182" spans="1:29" ht="15.75">
      <c r="A182" s="59"/>
      <c r="B182" s="61"/>
      <c r="C182" s="62"/>
      <c r="D182" s="62"/>
      <c r="E182" s="62"/>
      <c r="F182" s="62"/>
      <c r="G182" s="63"/>
      <c r="H182" s="63"/>
      <c r="I182" s="63"/>
      <c r="J182" s="63"/>
      <c r="K182" s="63"/>
      <c r="L182" s="63"/>
      <c r="M182" s="63"/>
      <c r="N182" s="63"/>
      <c r="O182" s="63"/>
      <c r="P182" s="63"/>
      <c r="Q182" s="63"/>
      <c r="R182" s="63"/>
      <c r="S182" s="63"/>
      <c r="T182" s="63"/>
      <c r="U182" s="63"/>
      <c r="V182" s="63"/>
      <c r="W182" s="63"/>
      <c r="X182" s="63"/>
      <c r="Y182" s="63"/>
      <c r="Z182" s="63"/>
      <c r="AA182" s="63"/>
      <c r="AB182" s="63"/>
      <c r="AC182" s="63"/>
    </row>
    <row r="183" spans="1:29" ht="15.75">
      <c r="A183" s="59"/>
      <c r="B183" s="61"/>
      <c r="C183" s="62"/>
      <c r="D183" s="62"/>
      <c r="E183" s="62"/>
      <c r="F183" s="62"/>
      <c r="G183" s="63"/>
      <c r="H183" s="63"/>
      <c r="I183" s="63"/>
      <c r="J183" s="63"/>
      <c r="K183" s="63"/>
      <c r="L183" s="63"/>
      <c r="M183" s="63"/>
      <c r="N183" s="63"/>
      <c r="O183" s="63"/>
      <c r="P183" s="63"/>
      <c r="Q183" s="63"/>
      <c r="R183" s="63"/>
      <c r="S183" s="63"/>
      <c r="T183" s="63"/>
      <c r="U183" s="63"/>
      <c r="V183" s="63"/>
      <c r="W183" s="63"/>
      <c r="X183" s="63"/>
      <c r="Y183" s="63"/>
      <c r="Z183" s="63"/>
      <c r="AA183" s="63"/>
      <c r="AB183" s="63"/>
      <c r="AC183" s="63"/>
    </row>
    <row r="184" spans="1:29" ht="15.75">
      <c r="A184" s="59"/>
      <c r="B184" s="61"/>
      <c r="C184" s="62"/>
      <c r="D184" s="62"/>
      <c r="E184" s="62"/>
      <c r="F184" s="62"/>
      <c r="G184" s="63"/>
      <c r="H184" s="63"/>
      <c r="I184" s="63"/>
      <c r="J184" s="63"/>
      <c r="K184" s="63"/>
      <c r="L184" s="63"/>
      <c r="M184" s="63"/>
      <c r="N184" s="63"/>
      <c r="O184" s="63"/>
      <c r="P184" s="63"/>
      <c r="Q184" s="63"/>
      <c r="R184" s="63"/>
      <c r="S184" s="63"/>
      <c r="T184" s="63"/>
      <c r="U184" s="63"/>
      <c r="V184" s="63"/>
      <c r="W184" s="63"/>
      <c r="X184" s="63"/>
      <c r="Y184" s="63"/>
      <c r="Z184" s="63"/>
      <c r="AA184" s="63"/>
      <c r="AB184" s="63"/>
      <c r="AC184" s="63"/>
    </row>
    <row r="185" spans="1:29" ht="15.75">
      <c r="A185" s="59"/>
      <c r="B185" s="61"/>
      <c r="C185" s="62"/>
      <c r="D185" s="62"/>
      <c r="E185" s="62"/>
      <c r="F185" s="62"/>
      <c r="G185" s="63"/>
      <c r="H185" s="63"/>
      <c r="I185" s="63"/>
      <c r="J185" s="63"/>
      <c r="K185" s="63"/>
      <c r="L185" s="63"/>
      <c r="M185" s="63"/>
      <c r="N185" s="63"/>
      <c r="O185" s="63"/>
      <c r="P185" s="63"/>
      <c r="Q185" s="63"/>
      <c r="R185" s="63"/>
      <c r="S185" s="63"/>
      <c r="T185" s="63"/>
      <c r="U185" s="63"/>
      <c r="V185" s="63"/>
      <c r="W185" s="63"/>
      <c r="X185" s="63"/>
      <c r="Y185" s="63"/>
      <c r="Z185" s="63"/>
      <c r="AA185" s="63"/>
      <c r="AB185" s="63"/>
      <c r="AC185" s="63"/>
    </row>
    <row r="186" spans="1:29" ht="15.75">
      <c r="A186" s="59"/>
      <c r="B186" s="61"/>
      <c r="C186" s="62"/>
      <c r="D186" s="62"/>
      <c r="E186" s="62"/>
      <c r="F186" s="62"/>
      <c r="G186" s="63"/>
      <c r="H186" s="63"/>
      <c r="I186" s="63"/>
      <c r="J186" s="63"/>
      <c r="K186" s="63"/>
      <c r="L186" s="63"/>
      <c r="M186" s="63"/>
      <c r="N186" s="63"/>
      <c r="O186" s="63"/>
      <c r="P186" s="63"/>
      <c r="Q186" s="63"/>
      <c r="R186" s="63"/>
      <c r="S186" s="63"/>
      <c r="T186" s="63"/>
      <c r="U186" s="63"/>
      <c r="V186" s="63"/>
      <c r="W186" s="63"/>
      <c r="X186" s="63"/>
      <c r="Y186" s="63"/>
      <c r="Z186" s="63"/>
      <c r="AA186" s="63"/>
      <c r="AB186" s="63"/>
      <c r="AC186" s="63"/>
    </row>
    <row r="187" spans="1:29" ht="15.75">
      <c r="A187" s="59"/>
      <c r="B187" s="61"/>
      <c r="C187" s="62"/>
      <c r="D187" s="62"/>
      <c r="E187" s="62"/>
      <c r="F187" s="62"/>
      <c r="G187" s="63"/>
      <c r="H187" s="63"/>
      <c r="I187" s="63"/>
      <c r="J187" s="63"/>
      <c r="K187" s="63"/>
      <c r="L187" s="63"/>
      <c r="M187" s="63"/>
      <c r="N187" s="63"/>
      <c r="O187" s="63"/>
      <c r="P187" s="63"/>
      <c r="Q187" s="63"/>
      <c r="R187" s="63"/>
      <c r="S187" s="63"/>
      <c r="T187" s="63"/>
      <c r="U187" s="63"/>
      <c r="V187" s="63"/>
      <c r="W187" s="63"/>
      <c r="X187" s="63"/>
      <c r="Y187" s="63"/>
      <c r="Z187" s="63"/>
      <c r="AA187" s="63"/>
      <c r="AB187" s="63"/>
      <c r="AC187" s="63"/>
    </row>
    <row r="188" spans="1:29" ht="15.75">
      <c r="A188" s="59"/>
      <c r="B188" s="61"/>
      <c r="C188" s="62"/>
      <c r="D188" s="62"/>
      <c r="E188" s="62"/>
      <c r="F188" s="62"/>
      <c r="G188" s="63"/>
      <c r="H188" s="63"/>
      <c r="I188" s="63"/>
      <c r="J188" s="63"/>
      <c r="K188" s="63"/>
      <c r="L188" s="63"/>
      <c r="M188" s="63"/>
      <c r="N188" s="63"/>
      <c r="O188" s="63"/>
      <c r="P188" s="63"/>
      <c r="Q188" s="63"/>
      <c r="R188" s="63"/>
      <c r="S188" s="63"/>
      <c r="T188" s="63"/>
      <c r="U188" s="63"/>
      <c r="V188" s="63"/>
      <c r="W188" s="63"/>
      <c r="X188" s="63"/>
      <c r="Y188" s="63"/>
      <c r="Z188" s="63"/>
      <c r="AA188" s="63"/>
      <c r="AB188" s="63"/>
      <c r="AC188" s="63"/>
    </row>
    <row r="189" spans="1:29" ht="15.75">
      <c r="A189" s="59"/>
      <c r="B189" s="61"/>
      <c r="C189" s="62"/>
      <c r="D189" s="62"/>
      <c r="E189" s="62"/>
      <c r="F189" s="62"/>
      <c r="G189" s="63"/>
      <c r="H189" s="63"/>
      <c r="I189" s="63"/>
      <c r="J189" s="63"/>
      <c r="K189" s="63"/>
      <c r="L189" s="63"/>
      <c r="M189" s="63"/>
      <c r="N189" s="63"/>
      <c r="O189" s="63"/>
      <c r="P189" s="63"/>
      <c r="Q189" s="63"/>
      <c r="R189" s="63"/>
      <c r="S189" s="63"/>
      <c r="T189" s="63"/>
      <c r="U189" s="63"/>
      <c r="V189" s="63"/>
      <c r="W189" s="63"/>
      <c r="X189" s="63"/>
      <c r="Y189" s="63"/>
      <c r="Z189" s="63"/>
      <c r="AA189" s="63"/>
      <c r="AB189" s="63"/>
      <c r="AC189" s="63"/>
    </row>
    <row r="190" spans="1:29" ht="15.75">
      <c r="A190" s="59"/>
      <c r="B190" s="61"/>
      <c r="C190" s="62"/>
      <c r="D190" s="62"/>
      <c r="E190" s="62"/>
      <c r="F190" s="62"/>
      <c r="G190" s="63"/>
      <c r="H190" s="63"/>
      <c r="I190" s="63"/>
      <c r="J190" s="63"/>
      <c r="K190" s="63"/>
      <c r="L190" s="63"/>
      <c r="M190" s="63"/>
      <c r="N190" s="63"/>
      <c r="O190" s="63"/>
      <c r="P190" s="63"/>
      <c r="Q190" s="63"/>
      <c r="R190" s="63"/>
      <c r="S190" s="63"/>
      <c r="T190" s="63"/>
      <c r="U190" s="63"/>
      <c r="V190" s="63"/>
      <c r="W190" s="63"/>
      <c r="X190" s="63"/>
      <c r="Y190" s="63"/>
      <c r="Z190" s="63"/>
      <c r="AA190" s="63"/>
      <c r="AB190" s="63"/>
      <c r="AC190" s="63"/>
    </row>
    <row r="191" spans="1:29" ht="15.75">
      <c r="A191" s="59"/>
      <c r="B191" s="61"/>
      <c r="C191" s="62"/>
      <c r="D191" s="62"/>
      <c r="E191" s="62"/>
      <c r="F191" s="62"/>
      <c r="G191" s="63"/>
      <c r="H191" s="63"/>
      <c r="I191" s="63"/>
      <c r="J191" s="63"/>
      <c r="K191" s="63"/>
      <c r="L191" s="63"/>
      <c r="M191" s="63"/>
      <c r="N191" s="63"/>
      <c r="O191" s="63"/>
      <c r="P191" s="63"/>
      <c r="Q191" s="63"/>
      <c r="R191" s="63"/>
      <c r="S191" s="63"/>
      <c r="T191" s="63"/>
      <c r="U191" s="63"/>
      <c r="V191" s="63"/>
      <c r="W191" s="63"/>
      <c r="X191" s="63"/>
      <c r="Y191" s="63"/>
      <c r="Z191" s="63"/>
      <c r="AA191" s="63"/>
      <c r="AB191" s="63"/>
      <c r="AC191" s="63"/>
    </row>
    <row r="192" spans="1:29" ht="15.75">
      <c r="A192" s="59"/>
      <c r="B192" s="61"/>
      <c r="C192" s="62"/>
      <c r="D192" s="62"/>
      <c r="E192" s="62"/>
      <c r="F192" s="62"/>
      <c r="G192" s="63"/>
      <c r="H192" s="63"/>
      <c r="I192" s="63"/>
      <c r="J192" s="63"/>
      <c r="K192" s="63"/>
      <c r="L192" s="63"/>
      <c r="M192" s="63"/>
      <c r="N192" s="63"/>
      <c r="O192" s="63"/>
      <c r="P192" s="63"/>
      <c r="Q192" s="63"/>
      <c r="R192" s="63"/>
      <c r="S192" s="63"/>
      <c r="T192" s="63"/>
      <c r="U192" s="63"/>
      <c r="V192" s="63"/>
      <c r="W192" s="63"/>
      <c r="X192" s="63"/>
      <c r="Y192" s="63"/>
      <c r="Z192" s="63"/>
      <c r="AA192" s="63"/>
      <c r="AB192" s="63"/>
      <c r="AC192" s="63"/>
    </row>
    <row r="193" spans="1:29" ht="15.75">
      <c r="A193" s="59"/>
      <c r="B193" s="61"/>
      <c r="C193" s="62"/>
      <c r="D193" s="62"/>
      <c r="E193" s="62"/>
      <c r="F193" s="62"/>
      <c r="G193" s="63"/>
      <c r="H193" s="63"/>
      <c r="I193" s="63"/>
      <c r="J193" s="63"/>
      <c r="K193" s="63"/>
      <c r="L193" s="63"/>
      <c r="M193" s="63"/>
      <c r="N193" s="63"/>
      <c r="O193" s="63"/>
      <c r="P193" s="63"/>
      <c r="Q193" s="63"/>
      <c r="R193" s="63"/>
      <c r="S193" s="63"/>
      <c r="T193" s="63"/>
      <c r="U193" s="63"/>
      <c r="V193" s="63"/>
      <c r="W193" s="63"/>
      <c r="X193" s="63"/>
      <c r="Y193" s="63"/>
      <c r="Z193" s="63"/>
      <c r="AA193" s="63"/>
      <c r="AB193" s="63"/>
      <c r="AC193" s="63"/>
    </row>
    <row r="194" spans="1:29" ht="15.75">
      <c r="A194" s="59"/>
      <c r="B194" s="61"/>
      <c r="C194" s="62"/>
      <c r="D194" s="62"/>
      <c r="E194" s="62"/>
      <c r="F194" s="62"/>
      <c r="G194" s="63"/>
      <c r="H194" s="63"/>
      <c r="I194" s="63"/>
      <c r="J194" s="63"/>
      <c r="K194" s="63"/>
      <c r="L194" s="63"/>
      <c r="M194" s="63"/>
      <c r="N194" s="63"/>
      <c r="O194" s="63"/>
      <c r="P194" s="63"/>
      <c r="Q194" s="63"/>
      <c r="R194" s="63"/>
      <c r="S194" s="63"/>
      <c r="T194" s="63"/>
      <c r="U194" s="63"/>
      <c r="V194" s="63"/>
      <c r="W194" s="63"/>
      <c r="X194" s="63"/>
      <c r="Y194" s="63"/>
      <c r="Z194" s="63"/>
      <c r="AA194" s="63"/>
      <c r="AB194" s="63"/>
      <c r="AC194" s="63"/>
    </row>
    <row r="195" spans="1:29" ht="15.75">
      <c r="A195" s="59"/>
      <c r="B195" s="61"/>
      <c r="C195" s="62"/>
      <c r="D195" s="62"/>
      <c r="E195" s="62"/>
      <c r="F195" s="62"/>
      <c r="G195" s="63"/>
      <c r="H195" s="63"/>
      <c r="I195" s="63"/>
      <c r="J195" s="63"/>
      <c r="K195" s="63"/>
      <c r="L195" s="63"/>
      <c r="M195" s="63"/>
      <c r="N195" s="63"/>
      <c r="O195" s="63"/>
      <c r="P195" s="63"/>
      <c r="Q195" s="63"/>
      <c r="R195" s="63"/>
      <c r="S195" s="63"/>
      <c r="T195" s="63"/>
      <c r="U195" s="63"/>
      <c r="V195" s="63"/>
      <c r="W195" s="63"/>
      <c r="X195" s="63"/>
      <c r="Y195" s="63"/>
      <c r="Z195" s="63"/>
      <c r="AA195" s="63"/>
      <c r="AB195" s="63"/>
      <c r="AC195" s="63"/>
    </row>
    <row r="196" spans="1:29" ht="15.75">
      <c r="A196" s="59"/>
      <c r="B196" s="61"/>
      <c r="C196" s="62"/>
      <c r="D196" s="62"/>
      <c r="E196" s="62"/>
      <c r="F196" s="62"/>
      <c r="G196" s="63"/>
      <c r="H196" s="63"/>
      <c r="I196" s="63"/>
      <c r="J196" s="63"/>
      <c r="K196" s="63"/>
      <c r="L196" s="63"/>
      <c r="M196" s="63"/>
      <c r="N196" s="63"/>
      <c r="O196" s="63"/>
      <c r="P196" s="63"/>
      <c r="Q196" s="63"/>
      <c r="R196" s="63"/>
      <c r="S196" s="63"/>
      <c r="T196" s="63"/>
      <c r="U196" s="63"/>
      <c r="V196" s="63"/>
      <c r="W196" s="63"/>
      <c r="X196" s="63"/>
      <c r="Y196" s="63"/>
      <c r="Z196" s="63"/>
      <c r="AA196" s="63"/>
      <c r="AB196" s="63"/>
      <c r="AC196" s="63"/>
    </row>
    <row r="197" spans="1:29" ht="15.75">
      <c r="A197" s="59"/>
      <c r="B197" s="61"/>
      <c r="C197" s="62"/>
      <c r="D197" s="62"/>
      <c r="E197" s="62"/>
      <c r="F197" s="62"/>
      <c r="G197" s="63"/>
      <c r="H197" s="63"/>
      <c r="I197" s="63"/>
      <c r="J197" s="63"/>
      <c r="K197" s="63"/>
      <c r="L197" s="63"/>
      <c r="M197" s="63"/>
      <c r="N197" s="63"/>
      <c r="O197" s="63"/>
      <c r="P197" s="63"/>
      <c r="Q197" s="63"/>
      <c r="R197" s="63"/>
      <c r="S197" s="63"/>
      <c r="T197" s="63"/>
      <c r="U197" s="63"/>
      <c r="V197" s="63"/>
      <c r="W197" s="63"/>
      <c r="X197" s="63"/>
      <c r="Y197" s="63"/>
      <c r="Z197" s="63"/>
      <c r="AA197" s="63"/>
      <c r="AB197" s="63"/>
      <c r="AC197" s="63"/>
    </row>
    <row r="198" spans="1:29" ht="15.75">
      <c r="A198" s="59"/>
      <c r="B198" s="61"/>
      <c r="C198" s="62"/>
      <c r="D198" s="62"/>
      <c r="E198" s="62"/>
      <c r="F198" s="62"/>
      <c r="G198" s="63"/>
      <c r="H198" s="63"/>
      <c r="I198" s="63"/>
      <c r="J198" s="63"/>
      <c r="K198" s="63"/>
      <c r="L198" s="63"/>
      <c r="M198" s="63"/>
      <c r="N198" s="63"/>
      <c r="O198" s="63"/>
      <c r="P198" s="63"/>
      <c r="Q198" s="63"/>
      <c r="R198" s="63"/>
      <c r="S198" s="63"/>
      <c r="T198" s="63"/>
      <c r="U198" s="63"/>
      <c r="V198" s="63"/>
      <c r="W198" s="63"/>
      <c r="X198" s="63"/>
      <c r="Y198" s="63"/>
      <c r="Z198" s="63"/>
      <c r="AA198" s="63"/>
      <c r="AB198" s="63"/>
      <c r="AC198" s="63"/>
    </row>
    <row r="199" spans="1:29" ht="15.75">
      <c r="A199" s="59"/>
      <c r="B199" s="61"/>
      <c r="C199" s="62"/>
      <c r="D199" s="62"/>
      <c r="E199" s="62"/>
      <c r="F199" s="62"/>
      <c r="G199" s="63"/>
      <c r="H199" s="63"/>
      <c r="I199" s="63"/>
      <c r="J199" s="63"/>
      <c r="K199" s="63"/>
      <c r="L199" s="63"/>
      <c r="M199" s="63"/>
      <c r="N199" s="63"/>
      <c r="O199" s="63"/>
      <c r="P199" s="63"/>
      <c r="Q199" s="63"/>
      <c r="R199" s="63"/>
      <c r="S199" s="63"/>
      <c r="T199" s="63"/>
      <c r="U199" s="63"/>
      <c r="V199" s="63"/>
      <c r="W199" s="63"/>
      <c r="X199" s="63"/>
      <c r="Y199" s="63"/>
      <c r="Z199" s="63"/>
      <c r="AA199" s="63"/>
      <c r="AB199" s="63"/>
      <c r="AC199" s="63"/>
    </row>
    <row r="200" spans="1:29" ht="15.75">
      <c r="A200" s="59"/>
      <c r="B200" s="61"/>
      <c r="C200" s="62"/>
      <c r="D200" s="62"/>
      <c r="E200" s="62"/>
      <c r="F200" s="62"/>
      <c r="G200" s="63"/>
      <c r="H200" s="63"/>
      <c r="I200" s="63"/>
      <c r="J200" s="63"/>
      <c r="K200" s="63"/>
      <c r="L200" s="63"/>
      <c r="M200" s="63"/>
      <c r="N200" s="63"/>
      <c r="O200" s="63"/>
      <c r="P200" s="63"/>
      <c r="Q200" s="63"/>
      <c r="R200" s="63"/>
      <c r="S200" s="63"/>
      <c r="T200" s="63"/>
      <c r="U200" s="63"/>
      <c r="V200" s="63"/>
      <c r="W200" s="63"/>
      <c r="X200" s="63"/>
      <c r="Y200" s="63"/>
      <c r="Z200" s="63"/>
      <c r="AA200" s="63"/>
      <c r="AB200" s="63"/>
      <c r="AC200" s="63"/>
    </row>
    <row r="201" spans="1:29" ht="15.75">
      <c r="A201" s="59"/>
      <c r="B201" s="61"/>
      <c r="C201" s="62"/>
      <c r="D201" s="62"/>
      <c r="E201" s="62"/>
      <c r="F201" s="62"/>
      <c r="G201" s="63"/>
      <c r="H201" s="63"/>
      <c r="I201" s="63"/>
      <c r="J201" s="63"/>
      <c r="K201" s="63"/>
      <c r="L201" s="63"/>
      <c r="M201" s="63"/>
      <c r="N201" s="63"/>
      <c r="O201" s="63"/>
      <c r="P201" s="63"/>
      <c r="Q201" s="63"/>
      <c r="R201" s="63"/>
      <c r="S201" s="63"/>
      <c r="T201" s="63"/>
      <c r="U201" s="63"/>
      <c r="V201" s="63"/>
      <c r="W201" s="63"/>
      <c r="X201" s="63"/>
      <c r="Y201" s="63"/>
      <c r="Z201" s="63"/>
      <c r="AA201" s="63"/>
      <c r="AB201" s="63"/>
      <c r="AC201" s="63"/>
    </row>
    <row r="202" spans="1:29" ht="15.75">
      <c r="A202" s="59"/>
      <c r="B202" s="61"/>
      <c r="C202" s="62"/>
      <c r="D202" s="62"/>
      <c r="E202" s="62"/>
      <c r="F202" s="62"/>
      <c r="G202" s="63"/>
      <c r="H202" s="63"/>
      <c r="I202" s="63"/>
      <c r="J202" s="63"/>
      <c r="K202" s="63"/>
      <c r="L202" s="63"/>
      <c r="M202" s="63"/>
      <c r="N202" s="63"/>
      <c r="O202" s="63"/>
      <c r="P202" s="63"/>
      <c r="Q202" s="63"/>
      <c r="R202" s="63"/>
      <c r="S202" s="63"/>
      <c r="T202" s="63"/>
      <c r="U202" s="63"/>
      <c r="V202" s="63"/>
      <c r="W202" s="63"/>
      <c r="X202" s="63"/>
      <c r="Y202" s="63"/>
      <c r="Z202" s="63"/>
      <c r="AA202" s="63"/>
      <c r="AB202" s="63"/>
      <c r="AC202" s="63"/>
    </row>
    <row r="203" spans="1:29" ht="15.75">
      <c r="A203" s="59"/>
      <c r="B203" s="61"/>
      <c r="C203" s="62"/>
      <c r="D203" s="62"/>
      <c r="E203" s="62"/>
      <c r="F203" s="62"/>
      <c r="G203" s="63"/>
      <c r="H203" s="63"/>
      <c r="I203" s="63"/>
      <c r="J203" s="63"/>
      <c r="K203" s="63"/>
      <c r="L203" s="63"/>
      <c r="M203" s="63"/>
      <c r="N203" s="63"/>
      <c r="O203" s="63"/>
      <c r="P203" s="63"/>
      <c r="Q203" s="63"/>
      <c r="R203" s="63"/>
      <c r="S203" s="63"/>
      <c r="T203" s="63"/>
      <c r="U203" s="63"/>
      <c r="V203" s="63"/>
      <c r="W203" s="63"/>
      <c r="X203" s="63"/>
      <c r="Y203" s="63"/>
      <c r="Z203" s="63"/>
      <c r="AA203" s="63"/>
      <c r="AB203" s="63"/>
      <c r="AC203" s="63"/>
    </row>
    <row r="204" spans="1:29" ht="15.75">
      <c r="A204" s="59"/>
      <c r="B204" s="61"/>
      <c r="C204" s="62"/>
      <c r="D204" s="62"/>
      <c r="E204" s="62"/>
      <c r="F204" s="62"/>
      <c r="G204" s="63"/>
      <c r="H204" s="63"/>
      <c r="I204" s="63"/>
      <c r="J204" s="63"/>
      <c r="K204" s="63"/>
      <c r="L204" s="63"/>
      <c r="M204" s="63"/>
      <c r="N204" s="63"/>
      <c r="O204" s="63"/>
      <c r="P204" s="63"/>
      <c r="Q204" s="63"/>
      <c r="R204" s="63"/>
      <c r="S204" s="63"/>
      <c r="T204" s="63"/>
      <c r="U204" s="63"/>
      <c r="V204" s="63"/>
      <c r="W204" s="63"/>
      <c r="X204" s="63"/>
      <c r="Y204" s="63"/>
      <c r="Z204" s="63"/>
      <c r="AA204" s="63"/>
      <c r="AB204" s="63"/>
      <c r="AC204" s="63"/>
    </row>
    <row r="205" spans="1:29" ht="15.75">
      <c r="A205" s="59"/>
      <c r="B205" s="61"/>
      <c r="C205" s="62"/>
      <c r="D205" s="62"/>
      <c r="E205" s="62"/>
      <c r="F205" s="62"/>
      <c r="G205" s="63"/>
      <c r="H205" s="63"/>
      <c r="I205" s="63"/>
      <c r="J205" s="63"/>
      <c r="K205" s="63"/>
      <c r="L205" s="63"/>
      <c r="M205" s="63"/>
      <c r="N205" s="63"/>
      <c r="O205" s="63"/>
      <c r="P205" s="63"/>
      <c r="Q205" s="63"/>
      <c r="R205" s="63"/>
      <c r="S205" s="63"/>
      <c r="T205" s="63"/>
      <c r="U205" s="63"/>
      <c r="V205" s="63"/>
      <c r="W205" s="63"/>
      <c r="X205" s="63"/>
      <c r="Y205" s="63"/>
      <c r="Z205" s="63"/>
      <c r="AA205" s="63"/>
      <c r="AB205" s="63"/>
      <c r="AC205" s="63"/>
    </row>
    <row r="206" spans="1:29" ht="15.75">
      <c r="A206" s="59"/>
      <c r="B206" s="61"/>
      <c r="C206" s="62"/>
      <c r="D206" s="62"/>
      <c r="E206" s="62"/>
      <c r="F206" s="62"/>
      <c r="G206" s="63"/>
      <c r="H206" s="63"/>
      <c r="I206" s="63"/>
      <c r="J206" s="63"/>
      <c r="K206" s="63"/>
      <c r="L206" s="63"/>
      <c r="M206" s="63"/>
      <c r="N206" s="63"/>
      <c r="O206" s="63"/>
      <c r="P206" s="63"/>
      <c r="Q206" s="63"/>
      <c r="R206" s="63"/>
      <c r="S206" s="63"/>
      <c r="T206" s="63"/>
      <c r="U206" s="63"/>
      <c r="V206" s="63"/>
      <c r="W206" s="63"/>
      <c r="X206" s="63"/>
      <c r="Y206" s="63"/>
      <c r="Z206" s="63"/>
      <c r="AA206" s="63"/>
      <c r="AB206" s="63"/>
      <c r="AC206" s="63"/>
    </row>
    <row r="207" spans="1:29" ht="15.75">
      <c r="A207" s="59"/>
      <c r="B207" s="61"/>
      <c r="C207" s="62"/>
      <c r="D207" s="62"/>
      <c r="E207" s="62"/>
      <c r="F207" s="62"/>
      <c r="G207" s="63"/>
      <c r="H207" s="63"/>
      <c r="I207" s="63"/>
      <c r="J207" s="63"/>
      <c r="K207" s="63"/>
      <c r="L207" s="63"/>
      <c r="M207" s="63"/>
      <c r="N207" s="63"/>
      <c r="O207" s="63"/>
      <c r="P207" s="63"/>
      <c r="Q207" s="63"/>
      <c r="R207" s="63"/>
      <c r="S207" s="63"/>
      <c r="T207" s="63"/>
      <c r="U207" s="63"/>
      <c r="V207" s="63"/>
      <c r="W207" s="63"/>
      <c r="X207" s="63"/>
      <c r="Y207" s="63"/>
      <c r="Z207" s="63"/>
      <c r="AA207" s="63"/>
      <c r="AB207" s="63"/>
      <c r="AC207" s="63"/>
    </row>
    <row r="208" spans="1:29" ht="15.75">
      <c r="A208" s="59"/>
      <c r="B208" s="61"/>
      <c r="C208" s="62"/>
      <c r="D208" s="62"/>
      <c r="E208" s="62"/>
      <c r="F208" s="62"/>
      <c r="G208" s="63"/>
      <c r="H208" s="63"/>
      <c r="I208" s="63"/>
      <c r="J208" s="63"/>
      <c r="K208" s="63"/>
      <c r="L208" s="63"/>
      <c r="M208" s="63"/>
      <c r="N208" s="63"/>
      <c r="O208" s="63"/>
      <c r="P208" s="63"/>
      <c r="Q208" s="63"/>
      <c r="R208" s="63"/>
      <c r="S208" s="63"/>
      <c r="T208" s="63"/>
      <c r="U208" s="63"/>
      <c r="V208" s="63"/>
      <c r="W208" s="63"/>
      <c r="X208" s="63"/>
      <c r="Y208" s="63"/>
      <c r="Z208" s="63"/>
      <c r="AA208" s="63"/>
      <c r="AB208" s="63"/>
      <c r="AC208" s="63"/>
    </row>
    <row r="209" spans="1:29" ht="15.75">
      <c r="A209" s="59"/>
      <c r="B209" s="61"/>
      <c r="C209" s="62"/>
      <c r="D209" s="62"/>
      <c r="E209" s="62"/>
      <c r="F209" s="62"/>
      <c r="G209" s="63"/>
      <c r="H209" s="63"/>
      <c r="I209" s="63"/>
      <c r="J209" s="63"/>
      <c r="K209" s="63"/>
      <c r="L209" s="63"/>
      <c r="M209" s="63"/>
      <c r="N209" s="63"/>
      <c r="O209" s="63"/>
      <c r="P209" s="63"/>
      <c r="Q209" s="63"/>
      <c r="R209" s="63"/>
      <c r="S209" s="63"/>
      <c r="T209" s="63"/>
      <c r="U209" s="63"/>
      <c r="V209" s="63"/>
      <c r="W209" s="63"/>
      <c r="X209" s="63"/>
      <c r="Y209" s="63"/>
      <c r="Z209" s="63"/>
      <c r="AA209" s="63"/>
      <c r="AB209" s="63"/>
      <c r="AC209" s="63"/>
    </row>
    <row r="210" spans="1:29" ht="15.75">
      <c r="A210" s="59"/>
      <c r="B210" s="61"/>
      <c r="C210" s="62"/>
      <c r="D210" s="62"/>
      <c r="E210" s="62"/>
      <c r="F210" s="62"/>
      <c r="G210" s="63"/>
      <c r="H210" s="63"/>
      <c r="I210" s="63"/>
      <c r="J210" s="63"/>
      <c r="K210" s="63"/>
      <c r="L210" s="63"/>
      <c r="M210" s="63"/>
      <c r="N210" s="63"/>
      <c r="O210" s="63"/>
      <c r="P210" s="63"/>
      <c r="Q210" s="63"/>
      <c r="R210" s="63"/>
      <c r="S210" s="63"/>
      <c r="T210" s="63"/>
      <c r="U210" s="63"/>
      <c r="V210" s="63"/>
      <c r="W210" s="63"/>
      <c r="X210" s="63"/>
      <c r="Y210" s="63"/>
      <c r="Z210" s="63"/>
      <c r="AA210" s="63"/>
      <c r="AB210" s="63"/>
      <c r="AC210" s="63"/>
    </row>
    <row r="211" spans="1:29" ht="15.75">
      <c r="A211" s="59"/>
      <c r="B211" s="61"/>
      <c r="C211" s="62"/>
      <c r="D211" s="62"/>
      <c r="E211" s="62"/>
      <c r="F211" s="62"/>
      <c r="G211" s="63"/>
      <c r="H211" s="63"/>
      <c r="I211" s="63"/>
      <c r="J211" s="63"/>
      <c r="K211" s="63"/>
      <c r="L211" s="63"/>
      <c r="M211" s="63"/>
      <c r="N211" s="63"/>
      <c r="O211" s="63"/>
      <c r="P211" s="63"/>
      <c r="Q211" s="63"/>
      <c r="R211" s="63"/>
      <c r="S211" s="63"/>
      <c r="T211" s="63"/>
      <c r="U211" s="63"/>
      <c r="V211" s="63"/>
      <c r="W211" s="63"/>
      <c r="X211" s="63"/>
      <c r="Y211" s="63"/>
      <c r="Z211" s="63"/>
      <c r="AA211" s="63"/>
      <c r="AB211" s="63"/>
      <c r="AC211" s="63"/>
    </row>
    <row r="212" spans="1:29" ht="15.75">
      <c r="A212" s="59"/>
      <c r="B212" s="61"/>
      <c r="C212" s="62"/>
      <c r="D212" s="62"/>
      <c r="E212" s="62"/>
      <c r="F212" s="62"/>
      <c r="G212" s="63"/>
      <c r="H212" s="63"/>
      <c r="I212" s="63"/>
      <c r="J212" s="63"/>
      <c r="K212" s="63"/>
      <c r="L212" s="63"/>
      <c r="M212" s="63"/>
      <c r="N212" s="63"/>
      <c r="O212" s="63"/>
      <c r="P212" s="63"/>
      <c r="Q212" s="63"/>
      <c r="R212" s="63"/>
      <c r="S212" s="63"/>
      <c r="T212" s="63"/>
      <c r="U212" s="63"/>
      <c r="V212" s="63"/>
      <c r="W212" s="63"/>
      <c r="X212" s="63"/>
      <c r="Y212" s="63"/>
      <c r="Z212" s="63"/>
      <c r="AA212" s="63"/>
      <c r="AB212" s="63"/>
      <c r="AC212" s="63"/>
    </row>
    <row r="213" spans="1:29" ht="15.75">
      <c r="A213" s="59"/>
      <c r="B213" s="61"/>
      <c r="C213" s="62"/>
      <c r="D213" s="62"/>
      <c r="E213" s="62"/>
      <c r="F213" s="62"/>
      <c r="G213" s="63"/>
      <c r="H213" s="63"/>
      <c r="I213" s="63"/>
      <c r="J213" s="63"/>
      <c r="K213" s="63"/>
      <c r="L213" s="63"/>
      <c r="M213" s="63"/>
      <c r="N213" s="63"/>
      <c r="O213" s="63"/>
      <c r="P213" s="63"/>
      <c r="Q213" s="63"/>
      <c r="R213" s="63"/>
      <c r="S213" s="63"/>
      <c r="T213" s="63"/>
      <c r="U213" s="63"/>
      <c r="V213" s="63"/>
      <c r="W213" s="63"/>
      <c r="X213" s="63"/>
      <c r="Y213" s="63"/>
      <c r="Z213" s="63"/>
      <c r="AA213" s="63"/>
      <c r="AB213" s="63"/>
      <c r="AC213" s="63"/>
    </row>
    <row r="214" spans="1:29" ht="15.75">
      <c r="A214" s="59"/>
      <c r="B214" s="61"/>
      <c r="C214" s="62"/>
      <c r="D214" s="62"/>
      <c r="E214" s="62"/>
      <c r="F214" s="62"/>
      <c r="G214" s="63"/>
      <c r="H214" s="63"/>
      <c r="I214" s="63"/>
      <c r="J214" s="63"/>
      <c r="K214" s="63"/>
      <c r="L214" s="63"/>
      <c r="M214" s="63"/>
      <c r="N214" s="63"/>
      <c r="O214" s="63"/>
      <c r="P214" s="63"/>
      <c r="Q214" s="63"/>
      <c r="R214" s="63"/>
      <c r="S214" s="63"/>
      <c r="T214" s="63"/>
      <c r="U214" s="63"/>
      <c r="V214" s="63"/>
      <c r="W214" s="63"/>
      <c r="X214" s="63"/>
      <c r="Y214" s="63"/>
      <c r="Z214" s="63"/>
      <c r="AA214" s="63"/>
      <c r="AB214" s="63"/>
      <c r="AC214" s="63"/>
    </row>
    <row r="215" spans="1:29" ht="15.75">
      <c r="A215" s="59"/>
      <c r="B215" s="61"/>
      <c r="C215" s="62"/>
      <c r="D215" s="62"/>
      <c r="E215" s="62"/>
      <c r="F215" s="62"/>
      <c r="G215" s="63"/>
      <c r="H215" s="63"/>
      <c r="I215" s="63"/>
      <c r="J215" s="63"/>
      <c r="K215" s="63"/>
      <c r="L215" s="63"/>
      <c r="M215" s="63"/>
      <c r="N215" s="63"/>
      <c r="O215" s="63"/>
      <c r="P215" s="63"/>
      <c r="Q215" s="63"/>
      <c r="R215" s="63"/>
      <c r="S215" s="63"/>
      <c r="T215" s="63"/>
      <c r="U215" s="63"/>
      <c r="V215" s="63"/>
      <c r="W215" s="63"/>
      <c r="X215" s="63"/>
      <c r="Y215" s="63"/>
      <c r="Z215" s="63"/>
      <c r="AA215" s="63"/>
      <c r="AB215" s="63"/>
      <c r="AC215" s="63"/>
    </row>
    <row r="216" spans="1:29" ht="15.75">
      <c r="A216" s="59"/>
      <c r="B216" s="61"/>
      <c r="C216" s="62"/>
      <c r="D216" s="62"/>
      <c r="E216" s="62"/>
      <c r="F216" s="62"/>
      <c r="G216" s="63"/>
      <c r="H216" s="63"/>
      <c r="I216" s="63"/>
      <c r="J216" s="63"/>
      <c r="K216" s="63"/>
      <c r="L216" s="63"/>
      <c r="M216" s="63"/>
      <c r="N216" s="63"/>
      <c r="O216" s="63"/>
      <c r="P216" s="63"/>
      <c r="Q216" s="63"/>
      <c r="R216" s="63"/>
      <c r="S216" s="63"/>
      <c r="T216" s="63"/>
      <c r="U216" s="63"/>
      <c r="V216" s="63"/>
      <c r="W216" s="63"/>
      <c r="X216" s="63"/>
      <c r="Y216" s="63"/>
      <c r="Z216" s="63"/>
      <c r="AA216" s="63"/>
      <c r="AB216" s="63"/>
      <c r="AC216" s="63"/>
    </row>
    <row r="217" spans="1:29" ht="15.75">
      <c r="A217" s="59"/>
      <c r="B217" s="61"/>
      <c r="C217" s="62"/>
      <c r="D217" s="62"/>
      <c r="E217" s="62"/>
      <c r="F217" s="62"/>
      <c r="G217" s="63"/>
      <c r="H217" s="63"/>
      <c r="I217" s="63"/>
      <c r="J217" s="63"/>
      <c r="K217" s="63"/>
      <c r="L217" s="63"/>
      <c r="M217" s="63"/>
      <c r="N217" s="63"/>
      <c r="O217" s="63"/>
      <c r="P217" s="63"/>
      <c r="Q217" s="63"/>
      <c r="R217" s="63"/>
      <c r="S217" s="63"/>
      <c r="T217" s="63"/>
      <c r="U217" s="63"/>
      <c r="V217" s="63"/>
      <c r="W217" s="63"/>
      <c r="X217" s="63"/>
      <c r="Y217" s="63"/>
      <c r="Z217" s="63"/>
      <c r="AA217" s="63"/>
      <c r="AB217" s="63"/>
      <c r="AC217" s="63"/>
    </row>
    <row r="218" spans="1:29" ht="15.75">
      <c r="A218" s="59"/>
      <c r="B218" s="61"/>
      <c r="C218" s="62"/>
      <c r="D218" s="62"/>
      <c r="E218" s="62"/>
      <c r="F218" s="62"/>
      <c r="G218" s="63"/>
      <c r="H218" s="63"/>
      <c r="I218" s="63"/>
      <c r="J218" s="63"/>
      <c r="K218" s="63"/>
      <c r="L218" s="63"/>
      <c r="M218" s="63"/>
      <c r="N218" s="63"/>
      <c r="O218" s="63"/>
      <c r="P218" s="63"/>
      <c r="Q218" s="63"/>
      <c r="R218" s="63"/>
      <c r="S218" s="63"/>
      <c r="T218" s="63"/>
      <c r="U218" s="63"/>
      <c r="V218" s="63"/>
      <c r="W218" s="63"/>
      <c r="X218" s="63"/>
      <c r="Y218" s="63"/>
      <c r="Z218" s="63"/>
      <c r="AA218" s="63"/>
      <c r="AB218" s="63"/>
      <c r="AC218" s="63"/>
    </row>
    <row r="219" spans="1:29" ht="15.75">
      <c r="A219" s="59"/>
      <c r="B219" s="61"/>
      <c r="C219" s="62"/>
      <c r="D219" s="62"/>
      <c r="E219" s="62"/>
      <c r="F219" s="62"/>
      <c r="G219" s="63"/>
      <c r="H219" s="63"/>
      <c r="I219" s="63"/>
      <c r="J219" s="63"/>
      <c r="K219" s="63"/>
      <c r="L219" s="63"/>
      <c r="M219" s="63"/>
      <c r="N219" s="63"/>
      <c r="O219" s="63"/>
      <c r="P219" s="63"/>
      <c r="Q219" s="63"/>
      <c r="R219" s="63"/>
      <c r="S219" s="63"/>
      <c r="T219" s="63"/>
      <c r="U219" s="63"/>
      <c r="V219" s="63"/>
      <c r="W219" s="63"/>
      <c r="X219" s="63"/>
      <c r="Y219" s="63"/>
      <c r="Z219" s="63"/>
      <c r="AA219" s="63"/>
      <c r="AB219" s="63"/>
      <c r="AC219" s="63"/>
    </row>
    <row r="220" spans="1:29" ht="15.75">
      <c r="A220" s="59"/>
      <c r="B220" s="61"/>
      <c r="C220" s="62"/>
      <c r="D220" s="62"/>
      <c r="E220" s="62"/>
      <c r="F220" s="62"/>
      <c r="G220" s="63"/>
      <c r="H220" s="63"/>
      <c r="I220" s="63"/>
      <c r="J220" s="63"/>
      <c r="K220" s="63"/>
      <c r="L220" s="63"/>
      <c r="M220" s="63"/>
      <c r="N220" s="63"/>
      <c r="O220" s="63"/>
      <c r="P220" s="63"/>
      <c r="Q220" s="63"/>
      <c r="R220" s="63"/>
      <c r="S220" s="63"/>
      <c r="T220" s="63"/>
      <c r="U220" s="63"/>
      <c r="V220" s="63"/>
      <c r="W220" s="63"/>
      <c r="X220" s="63"/>
      <c r="Y220" s="63"/>
      <c r="Z220" s="63"/>
      <c r="AA220" s="63"/>
      <c r="AB220" s="63"/>
      <c r="AC220" s="63"/>
    </row>
    <row r="221" spans="1:29" ht="15.75">
      <c r="A221" s="59"/>
      <c r="B221" s="61"/>
      <c r="C221" s="62"/>
      <c r="D221" s="62"/>
      <c r="E221" s="62"/>
      <c r="F221" s="62"/>
      <c r="G221" s="63"/>
      <c r="H221" s="63"/>
      <c r="I221" s="63"/>
      <c r="J221" s="63"/>
      <c r="K221" s="63"/>
      <c r="L221" s="63"/>
      <c r="M221" s="63"/>
      <c r="N221" s="63"/>
      <c r="O221" s="63"/>
      <c r="P221" s="63"/>
      <c r="Q221" s="63"/>
      <c r="R221" s="63"/>
      <c r="S221" s="63"/>
      <c r="T221" s="63"/>
      <c r="U221" s="63"/>
      <c r="V221" s="63"/>
      <c r="W221" s="63"/>
      <c r="X221" s="63"/>
      <c r="Y221" s="63"/>
      <c r="Z221" s="63"/>
      <c r="AA221" s="63"/>
      <c r="AB221" s="63"/>
      <c r="AC221" s="63"/>
    </row>
    <row r="222" spans="1:29" ht="15.75">
      <c r="A222" s="59"/>
      <c r="B222" s="61"/>
      <c r="C222" s="62"/>
      <c r="D222" s="62"/>
      <c r="E222" s="62"/>
      <c r="F222" s="62"/>
      <c r="G222" s="63"/>
      <c r="H222" s="63"/>
      <c r="I222" s="63"/>
      <c r="J222" s="63"/>
      <c r="K222" s="63"/>
      <c r="L222" s="63"/>
      <c r="M222" s="63"/>
      <c r="N222" s="63"/>
      <c r="O222" s="63"/>
      <c r="P222" s="63"/>
      <c r="Q222" s="63"/>
      <c r="R222" s="63"/>
      <c r="S222" s="63"/>
      <c r="T222" s="63"/>
      <c r="U222" s="63"/>
      <c r="V222" s="63"/>
      <c r="W222" s="63"/>
      <c r="X222" s="63"/>
      <c r="Y222" s="63"/>
      <c r="Z222" s="63"/>
      <c r="AA222" s="63"/>
      <c r="AB222" s="63"/>
      <c r="AC222" s="63"/>
    </row>
    <row r="223" spans="1:29" ht="15.75">
      <c r="A223" s="59"/>
      <c r="B223" s="61"/>
      <c r="C223" s="62"/>
      <c r="D223" s="62"/>
      <c r="E223" s="62"/>
      <c r="F223" s="62"/>
      <c r="G223" s="63"/>
      <c r="H223" s="63"/>
      <c r="I223" s="63"/>
      <c r="J223" s="63"/>
      <c r="K223" s="63"/>
      <c r="L223" s="63"/>
      <c r="M223" s="63"/>
      <c r="N223" s="63"/>
      <c r="O223" s="63"/>
      <c r="P223" s="63"/>
      <c r="Q223" s="63"/>
      <c r="R223" s="63"/>
      <c r="S223" s="63"/>
      <c r="T223" s="63"/>
      <c r="U223" s="63"/>
      <c r="V223" s="63"/>
      <c r="W223" s="63"/>
      <c r="X223" s="63"/>
      <c r="Y223" s="63"/>
      <c r="Z223" s="63"/>
      <c r="AA223" s="63"/>
      <c r="AB223" s="63"/>
      <c r="AC223" s="63"/>
    </row>
    <row r="224" spans="1:29" ht="15.75">
      <c r="A224" s="59"/>
      <c r="B224" s="61"/>
      <c r="C224" s="62"/>
      <c r="D224" s="62"/>
      <c r="E224" s="62"/>
      <c r="F224" s="62"/>
      <c r="G224" s="63"/>
      <c r="H224" s="63"/>
      <c r="I224" s="63"/>
      <c r="J224" s="63"/>
      <c r="K224" s="63"/>
      <c r="L224" s="63"/>
      <c r="M224" s="63"/>
      <c r="N224" s="63"/>
      <c r="O224" s="63"/>
      <c r="P224" s="63"/>
      <c r="Q224" s="63"/>
      <c r="R224" s="63"/>
      <c r="S224" s="63"/>
      <c r="T224" s="63"/>
      <c r="U224" s="63"/>
      <c r="V224" s="63"/>
      <c r="W224" s="63"/>
      <c r="X224" s="63"/>
      <c r="Y224" s="63"/>
      <c r="Z224" s="63"/>
      <c r="AA224" s="63"/>
      <c r="AB224" s="63"/>
      <c r="AC224" s="63"/>
    </row>
    <row r="225" spans="1:29" ht="15.75">
      <c r="A225" s="59"/>
      <c r="B225" s="61"/>
      <c r="C225" s="62"/>
      <c r="D225" s="62"/>
      <c r="E225" s="62"/>
      <c r="F225" s="62"/>
      <c r="G225" s="63"/>
      <c r="H225" s="63"/>
      <c r="I225" s="63"/>
      <c r="J225" s="63"/>
      <c r="K225" s="63"/>
      <c r="L225" s="63"/>
      <c r="M225" s="63"/>
      <c r="N225" s="63"/>
      <c r="O225" s="63"/>
      <c r="P225" s="63"/>
      <c r="Q225" s="63"/>
      <c r="R225" s="63"/>
      <c r="S225" s="63"/>
      <c r="T225" s="63"/>
      <c r="U225" s="63"/>
      <c r="V225" s="63"/>
      <c r="W225" s="63"/>
      <c r="X225" s="63"/>
      <c r="Y225" s="63"/>
      <c r="Z225" s="63"/>
      <c r="AA225" s="63"/>
      <c r="AB225" s="63"/>
      <c r="AC225" s="63"/>
    </row>
    <row r="226" spans="1:29" ht="15.75">
      <c r="A226" s="59"/>
      <c r="B226" s="61"/>
      <c r="C226" s="62"/>
      <c r="D226" s="62"/>
      <c r="E226" s="62"/>
      <c r="F226" s="62"/>
      <c r="G226" s="63"/>
      <c r="H226" s="63"/>
      <c r="I226" s="63"/>
      <c r="J226" s="63"/>
      <c r="K226" s="63"/>
      <c r="L226" s="63"/>
      <c r="M226" s="63"/>
      <c r="N226" s="63"/>
      <c r="O226" s="63"/>
      <c r="P226" s="63"/>
      <c r="Q226" s="63"/>
      <c r="R226" s="63"/>
      <c r="S226" s="63"/>
      <c r="T226" s="63"/>
      <c r="U226" s="63"/>
      <c r="V226" s="63"/>
      <c r="W226" s="63"/>
      <c r="X226" s="63"/>
      <c r="Y226" s="63"/>
      <c r="Z226" s="63"/>
      <c r="AA226" s="63"/>
      <c r="AB226" s="63"/>
      <c r="AC226" s="63"/>
    </row>
    <row r="227" spans="1:29" ht="15.75">
      <c r="A227" s="59"/>
      <c r="B227" s="61"/>
      <c r="C227" s="62"/>
      <c r="D227" s="62"/>
      <c r="E227" s="62"/>
      <c r="F227" s="62"/>
      <c r="G227" s="63"/>
      <c r="H227" s="63"/>
      <c r="I227" s="63"/>
      <c r="J227" s="63"/>
      <c r="K227" s="63"/>
      <c r="L227" s="63"/>
      <c r="M227" s="63"/>
      <c r="N227" s="63"/>
      <c r="O227" s="63"/>
      <c r="P227" s="63"/>
      <c r="Q227" s="63"/>
      <c r="R227" s="63"/>
      <c r="S227" s="63"/>
      <c r="T227" s="63"/>
      <c r="U227" s="63"/>
      <c r="V227" s="63"/>
      <c r="W227" s="63"/>
      <c r="X227" s="63"/>
      <c r="Y227" s="63"/>
      <c r="Z227" s="63"/>
      <c r="AA227" s="63"/>
      <c r="AB227" s="63"/>
      <c r="AC227" s="63"/>
    </row>
    <row r="228" spans="1:29" ht="15.75">
      <c r="A228" s="59"/>
      <c r="B228" s="61"/>
      <c r="C228" s="62"/>
      <c r="D228" s="62"/>
      <c r="E228" s="62"/>
      <c r="F228" s="62"/>
      <c r="G228" s="63"/>
      <c r="H228" s="63"/>
      <c r="I228" s="63"/>
      <c r="J228" s="63"/>
      <c r="K228" s="63"/>
      <c r="L228" s="63"/>
      <c r="M228" s="63"/>
      <c r="N228" s="63"/>
      <c r="O228" s="63"/>
      <c r="P228" s="63"/>
      <c r="Q228" s="63"/>
      <c r="R228" s="63"/>
      <c r="S228" s="63"/>
      <c r="T228" s="63"/>
      <c r="U228" s="63"/>
      <c r="V228" s="63"/>
      <c r="W228" s="63"/>
      <c r="X228" s="63"/>
      <c r="Y228" s="63"/>
      <c r="Z228" s="63"/>
      <c r="AA228" s="63"/>
      <c r="AB228" s="63"/>
      <c r="AC228" s="63"/>
    </row>
    <row r="229" spans="1:29" ht="15.75">
      <c r="A229" s="59"/>
      <c r="B229" s="61"/>
      <c r="C229" s="62"/>
      <c r="D229" s="62"/>
      <c r="E229" s="62"/>
      <c r="F229" s="62"/>
      <c r="G229" s="63"/>
      <c r="H229" s="63"/>
      <c r="I229" s="63"/>
      <c r="J229" s="63"/>
      <c r="K229" s="63"/>
      <c r="L229" s="63"/>
      <c r="M229" s="63"/>
      <c r="N229" s="63"/>
      <c r="O229" s="63"/>
      <c r="P229" s="63"/>
      <c r="Q229" s="63"/>
      <c r="R229" s="63"/>
      <c r="S229" s="63"/>
      <c r="T229" s="63"/>
      <c r="U229" s="63"/>
      <c r="V229" s="63"/>
      <c r="W229" s="63"/>
      <c r="X229" s="63"/>
      <c r="Y229" s="63"/>
      <c r="Z229" s="63"/>
      <c r="AA229" s="63"/>
      <c r="AB229" s="63"/>
      <c r="AC229" s="63"/>
    </row>
    <row r="230" spans="1:29" ht="15.75">
      <c r="A230" s="59"/>
      <c r="B230" s="61"/>
      <c r="C230" s="62"/>
      <c r="D230" s="62"/>
      <c r="E230" s="62"/>
      <c r="F230" s="62"/>
      <c r="G230" s="63"/>
      <c r="H230" s="63"/>
      <c r="I230" s="63"/>
      <c r="J230" s="63"/>
      <c r="K230" s="63"/>
      <c r="L230" s="63"/>
      <c r="M230" s="63"/>
      <c r="N230" s="63"/>
      <c r="O230" s="63"/>
      <c r="P230" s="63"/>
      <c r="Q230" s="63"/>
      <c r="R230" s="63"/>
      <c r="S230" s="63"/>
      <c r="T230" s="63"/>
      <c r="U230" s="63"/>
      <c r="V230" s="63"/>
      <c r="W230" s="63"/>
      <c r="X230" s="63"/>
      <c r="Y230" s="63"/>
      <c r="Z230" s="63"/>
      <c r="AA230" s="63"/>
      <c r="AB230" s="63"/>
      <c r="AC230" s="63"/>
    </row>
    <row r="231" spans="1:29" ht="15.75">
      <c r="A231" s="59"/>
      <c r="B231" s="61"/>
      <c r="C231" s="62"/>
      <c r="D231" s="62"/>
      <c r="E231" s="62"/>
      <c r="F231" s="62"/>
      <c r="G231" s="63"/>
      <c r="H231" s="63"/>
      <c r="I231" s="63"/>
      <c r="J231" s="63"/>
      <c r="K231" s="63"/>
      <c r="L231" s="63"/>
      <c r="M231" s="63"/>
      <c r="N231" s="63"/>
      <c r="O231" s="63"/>
      <c r="P231" s="63"/>
      <c r="Q231" s="63"/>
      <c r="R231" s="63"/>
      <c r="S231" s="63"/>
      <c r="T231" s="63"/>
      <c r="U231" s="63"/>
      <c r="V231" s="63"/>
      <c r="W231" s="63"/>
      <c r="X231" s="63"/>
      <c r="Y231" s="63"/>
      <c r="Z231" s="63"/>
      <c r="AA231" s="63"/>
      <c r="AB231" s="63"/>
      <c r="AC231" s="63"/>
    </row>
    <row r="232" spans="1:29" ht="15.75">
      <c r="A232" s="59"/>
      <c r="B232" s="61"/>
      <c r="C232" s="62"/>
      <c r="D232" s="62"/>
      <c r="E232" s="62"/>
      <c r="F232" s="62"/>
      <c r="G232" s="63"/>
      <c r="H232" s="63"/>
      <c r="I232" s="63"/>
      <c r="J232" s="63"/>
      <c r="K232" s="63"/>
      <c r="L232" s="63"/>
      <c r="M232" s="63"/>
      <c r="N232" s="63"/>
      <c r="O232" s="63"/>
      <c r="P232" s="63"/>
      <c r="Q232" s="63"/>
      <c r="R232" s="63"/>
      <c r="S232" s="63"/>
      <c r="T232" s="63"/>
      <c r="U232" s="63"/>
      <c r="V232" s="63"/>
      <c r="W232" s="63"/>
      <c r="X232" s="63"/>
      <c r="Y232" s="63"/>
      <c r="Z232" s="63"/>
      <c r="AA232" s="63"/>
      <c r="AB232" s="63"/>
      <c r="AC232" s="63"/>
    </row>
    <row r="233" spans="1:29" ht="15.75">
      <c r="A233" s="59"/>
      <c r="B233" s="61"/>
      <c r="C233" s="62"/>
      <c r="D233" s="62"/>
      <c r="E233" s="62"/>
      <c r="F233" s="62"/>
      <c r="G233" s="63"/>
      <c r="H233" s="63"/>
      <c r="I233" s="63"/>
      <c r="J233" s="63"/>
      <c r="K233" s="63"/>
      <c r="L233" s="63"/>
      <c r="M233" s="63"/>
      <c r="N233" s="63"/>
      <c r="O233" s="63"/>
      <c r="P233" s="63"/>
      <c r="Q233" s="63"/>
      <c r="R233" s="63"/>
      <c r="S233" s="63"/>
      <c r="T233" s="63"/>
      <c r="U233" s="63"/>
      <c r="V233" s="63"/>
      <c r="W233" s="63"/>
      <c r="X233" s="63"/>
      <c r="Y233" s="63"/>
      <c r="Z233" s="63"/>
      <c r="AA233" s="63"/>
      <c r="AB233" s="63"/>
      <c r="AC233" s="63"/>
    </row>
    <row r="234" spans="1:29" ht="15.75">
      <c r="A234" s="59"/>
      <c r="B234" s="61"/>
      <c r="C234" s="62"/>
      <c r="D234" s="62"/>
      <c r="E234" s="62"/>
      <c r="F234" s="62"/>
      <c r="G234" s="63"/>
      <c r="H234" s="63"/>
      <c r="I234" s="63"/>
      <c r="J234" s="63"/>
      <c r="K234" s="63"/>
      <c r="L234" s="63"/>
      <c r="M234" s="63"/>
      <c r="N234" s="63"/>
      <c r="O234" s="63"/>
      <c r="P234" s="63"/>
      <c r="Q234" s="63"/>
      <c r="R234" s="63"/>
      <c r="S234" s="63"/>
      <c r="T234" s="63"/>
      <c r="U234" s="63"/>
      <c r="V234" s="63"/>
      <c r="W234" s="63"/>
      <c r="X234" s="63"/>
      <c r="Y234" s="63"/>
      <c r="Z234" s="63"/>
      <c r="AA234" s="63"/>
      <c r="AB234" s="63"/>
      <c r="AC234" s="63"/>
    </row>
    <row r="235" spans="1:29" ht="15.75">
      <c r="A235" s="59"/>
      <c r="B235" s="61"/>
      <c r="C235" s="62"/>
      <c r="D235" s="62"/>
      <c r="E235" s="62"/>
      <c r="F235" s="62"/>
      <c r="G235" s="63"/>
      <c r="H235" s="63"/>
      <c r="I235" s="63"/>
      <c r="J235" s="63"/>
      <c r="K235" s="63"/>
      <c r="L235" s="63"/>
      <c r="M235" s="63"/>
      <c r="N235" s="63"/>
      <c r="O235" s="63"/>
      <c r="P235" s="63"/>
      <c r="Q235" s="63"/>
      <c r="R235" s="63"/>
      <c r="S235" s="63"/>
      <c r="T235" s="63"/>
      <c r="U235" s="63"/>
      <c r="V235" s="63"/>
      <c r="W235" s="63"/>
      <c r="X235" s="63"/>
      <c r="Y235" s="63"/>
      <c r="Z235" s="63"/>
      <c r="AA235" s="63"/>
      <c r="AB235" s="63"/>
      <c r="AC235" s="63"/>
    </row>
    <row r="236" spans="1:29" ht="15.75">
      <c r="A236" s="59"/>
      <c r="B236" s="61"/>
      <c r="C236" s="62"/>
      <c r="D236" s="62"/>
      <c r="E236" s="62"/>
      <c r="F236" s="62"/>
      <c r="G236" s="63"/>
      <c r="H236" s="63"/>
      <c r="I236" s="63"/>
      <c r="J236" s="63"/>
      <c r="K236" s="63"/>
      <c r="L236" s="63"/>
      <c r="M236" s="63"/>
      <c r="N236" s="63"/>
      <c r="O236" s="63"/>
      <c r="P236" s="63"/>
      <c r="Q236" s="63"/>
      <c r="R236" s="63"/>
      <c r="S236" s="63"/>
      <c r="T236" s="63"/>
      <c r="U236" s="63"/>
      <c r="V236" s="63"/>
      <c r="W236" s="63"/>
      <c r="X236" s="63"/>
      <c r="Y236" s="63"/>
      <c r="Z236" s="63"/>
      <c r="AA236" s="63"/>
      <c r="AB236" s="63"/>
      <c r="AC236" s="63"/>
    </row>
    <row r="237" spans="1:29" ht="15.75">
      <c r="A237" s="59"/>
      <c r="B237" s="61"/>
      <c r="C237" s="62"/>
      <c r="D237" s="62"/>
      <c r="E237" s="62"/>
      <c r="F237" s="62"/>
      <c r="G237" s="63"/>
      <c r="H237" s="63"/>
      <c r="I237" s="63"/>
      <c r="J237" s="63"/>
      <c r="K237" s="63"/>
      <c r="L237" s="63"/>
      <c r="M237" s="63"/>
      <c r="N237" s="63"/>
      <c r="O237" s="63"/>
      <c r="P237" s="63"/>
      <c r="Q237" s="63"/>
      <c r="R237" s="63"/>
      <c r="S237" s="63"/>
      <c r="T237" s="63"/>
      <c r="U237" s="63"/>
      <c r="V237" s="63"/>
      <c r="W237" s="63"/>
      <c r="X237" s="63"/>
      <c r="Y237" s="63"/>
      <c r="Z237" s="63"/>
      <c r="AA237" s="63"/>
      <c r="AB237" s="63"/>
      <c r="AC237" s="63"/>
    </row>
    <row r="238" spans="1:29" ht="15.75">
      <c r="A238" s="59"/>
      <c r="B238" s="61"/>
      <c r="C238" s="62"/>
      <c r="D238" s="62"/>
      <c r="E238" s="62"/>
      <c r="F238" s="62"/>
      <c r="G238" s="63"/>
      <c r="H238" s="63"/>
      <c r="I238" s="63"/>
      <c r="J238" s="63"/>
      <c r="K238" s="63"/>
      <c r="L238" s="63"/>
      <c r="M238" s="63"/>
      <c r="N238" s="63"/>
      <c r="O238" s="63"/>
      <c r="P238" s="63"/>
      <c r="Q238" s="63"/>
      <c r="R238" s="63"/>
      <c r="S238" s="63"/>
      <c r="T238" s="63"/>
      <c r="U238" s="63"/>
      <c r="V238" s="63"/>
      <c r="W238" s="63"/>
      <c r="X238" s="63"/>
      <c r="Y238" s="63"/>
      <c r="Z238" s="63"/>
      <c r="AA238" s="63"/>
      <c r="AB238" s="63"/>
      <c r="AC238" s="63"/>
    </row>
    <row r="239" spans="1:29" ht="15.75">
      <c r="A239" s="59"/>
      <c r="B239" s="61"/>
      <c r="C239" s="62"/>
      <c r="D239" s="62"/>
      <c r="E239" s="62"/>
      <c r="F239" s="62"/>
      <c r="G239" s="63"/>
      <c r="H239" s="63"/>
      <c r="I239" s="63"/>
      <c r="J239" s="63"/>
      <c r="K239" s="63"/>
      <c r="L239" s="63"/>
      <c r="M239" s="63"/>
      <c r="N239" s="63"/>
      <c r="O239" s="63"/>
      <c r="P239" s="63"/>
      <c r="Q239" s="63"/>
      <c r="R239" s="63"/>
      <c r="S239" s="63"/>
      <c r="T239" s="63"/>
      <c r="U239" s="63"/>
      <c r="V239" s="63"/>
      <c r="W239" s="63"/>
      <c r="X239" s="63"/>
      <c r="Y239" s="63"/>
      <c r="Z239" s="63"/>
      <c r="AA239" s="63"/>
      <c r="AB239" s="63"/>
      <c r="AC239" s="63"/>
    </row>
    <row r="240" spans="1:29" ht="15.75">
      <c r="A240" s="59"/>
      <c r="B240" s="61"/>
      <c r="C240" s="62"/>
      <c r="D240" s="62"/>
      <c r="E240" s="62"/>
      <c r="F240" s="62"/>
      <c r="G240" s="63"/>
      <c r="H240" s="63"/>
      <c r="I240" s="63"/>
      <c r="J240" s="63"/>
      <c r="K240" s="63"/>
      <c r="L240" s="63"/>
      <c r="M240" s="63"/>
      <c r="N240" s="63"/>
      <c r="O240" s="63"/>
      <c r="P240" s="63"/>
      <c r="Q240" s="63"/>
      <c r="R240" s="63"/>
      <c r="S240" s="63"/>
      <c r="T240" s="63"/>
      <c r="U240" s="63"/>
      <c r="V240" s="63"/>
      <c r="W240" s="63"/>
      <c r="X240" s="63"/>
      <c r="Y240" s="63"/>
      <c r="Z240" s="63"/>
      <c r="AA240" s="63"/>
      <c r="AB240" s="63"/>
      <c r="AC240" s="63"/>
    </row>
    <row r="241" spans="1:29" ht="15.75">
      <c r="A241" s="59"/>
      <c r="B241" s="61"/>
      <c r="C241" s="62"/>
      <c r="D241" s="62"/>
      <c r="E241" s="62"/>
      <c r="F241" s="62"/>
      <c r="G241" s="63"/>
      <c r="H241" s="63"/>
      <c r="I241" s="63"/>
      <c r="J241" s="63"/>
      <c r="K241" s="63"/>
      <c r="L241" s="63"/>
      <c r="M241" s="63"/>
      <c r="N241" s="63"/>
      <c r="O241" s="63"/>
      <c r="P241" s="63"/>
      <c r="Q241" s="63"/>
      <c r="R241" s="63"/>
      <c r="S241" s="63"/>
      <c r="T241" s="63"/>
      <c r="U241" s="63"/>
      <c r="V241" s="63"/>
      <c r="W241" s="63"/>
      <c r="X241" s="63"/>
      <c r="Y241" s="63"/>
      <c r="Z241" s="63"/>
      <c r="AA241" s="63"/>
      <c r="AB241" s="63"/>
      <c r="AC241" s="63"/>
    </row>
    <row r="242" spans="1:29" ht="15.75">
      <c r="A242" s="59"/>
      <c r="B242" s="61"/>
      <c r="C242" s="62"/>
      <c r="D242" s="62"/>
      <c r="E242" s="62"/>
      <c r="F242" s="62"/>
      <c r="G242" s="63"/>
      <c r="H242" s="63"/>
      <c r="I242" s="63"/>
      <c r="J242" s="63"/>
      <c r="K242" s="63"/>
      <c r="L242" s="63"/>
      <c r="M242" s="63"/>
      <c r="N242" s="63"/>
      <c r="O242" s="63"/>
      <c r="P242" s="63"/>
      <c r="Q242" s="63"/>
      <c r="R242" s="63"/>
      <c r="S242" s="63"/>
      <c r="T242" s="63"/>
      <c r="U242" s="63"/>
      <c r="V242" s="63"/>
      <c r="W242" s="63"/>
      <c r="X242" s="63"/>
      <c r="Y242" s="63"/>
      <c r="Z242" s="63"/>
      <c r="AA242" s="63"/>
      <c r="AB242" s="63"/>
      <c r="AC242" s="63"/>
    </row>
    <row r="243" spans="1:29" ht="15.75">
      <c r="A243" s="59"/>
      <c r="B243" s="61"/>
      <c r="C243" s="62"/>
      <c r="D243" s="62"/>
      <c r="E243" s="62"/>
      <c r="F243" s="62"/>
      <c r="G243" s="63"/>
      <c r="H243" s="63"/>
      <c r="I243" s="63"/>
      <c r="J243" s="63"/>
      <c r="K243" s="63"/>
      <c r="L243" s="63"/>
      <c r="M243" s="63"/>
      <c r="N243" s="63"/>
      <c r="O243" s="63"/>
      <c r="P243" s="63"/>
      <c r="Q243" s="63"/>
      <c r="R243" s="63"/>
      <c r="S243" s="63"/>
      <c r="T243" s="63"/>
      <c r="U243" s="63"/>
      <c r="V243" s="63"/>
      <c r="W243" s="63"/>
      <c r="X243" s="63"/>
      <c r="Y243" s="63"/>
      <c r="Z243" s="63"/>
      <c r="AA243" s="63"/>
      <c r="AB243" s="63"/>
      <c r="AC243" s="63"/>
    </row>
    <row r="244" spans="1:29" ht="15.75">
      <c r="A244" s="59"/>
      <c r="B244" s="61"/>
      <c r="C244" s="62"/>
      <c r="D244" s="62"/>
      <c r="E244" s="62"/>
      <c r="F244" s="62"/>
      <c r="G244" s="63"/>
      <c r="H244" s="63"/>
      <c r="I244" s="63"/>
      <c r="J244" s="63"/>
      <c r="K244" s="63"/>
      <c r="L244" s="63"/>
      <c r="M244" s="63"/>
      <c r="N244" s="63"/>
      <c r="O244" s="63"/>
      <c r="P244" s="63"/>
      <c r="Q244" s="63"/>
      <c r="R244" s="63"/>
      <c r="S244" s="63"/>
      <c r="T244" s="63"/>
      <c r="U244" s="63"/>
      <c r="V244" s="63"/>
      <c r="W244" s="63"/>
      <c r="X244" s="63"/>
      <c r="Y244" s="63"/>
      <c r="Z244" s="63"/>
      <c r="AA244" s="63"/>
      <c r="AB244" s="63"/>
      <c r="AC244" s="63"/>
    </row>
    <row r="245" spans="1:29" ht="15.75">
      <c r="A245" s="59"/>
      <c r="B245" s="61"/>
      <c r="C245" s="62"/>
      <c r="D245" s="62"/>
      <c r="E245" s="62"/>
      <c r="F245" s="62"/>
      <c r="G245" s="63"/>
      <c r="H245" s="63"/>
      <c r="I245" s="63"/>
      <c r="J245" s="63"/>
      <c r="K245" s="63"/>
      <c r="L245" s="63"/>
      <c r="M245" s="63"/>
      <c r="N245" s="63"/>
      <c r="O245" s="63"/>
      <c r="P245" s="63"/>
      <c r="Q245" s="63"/>
      <c r="R245" s="63"/>
      <c r="S245" s="63"/>
      <c r="T245" s="63"/>
      <c r="U245" s="63"/>
      <c r="V245" s="63"/>
      <c r="W245" s="63"/>
      <c r="X245" s="63"/>
      <c r="Y245" s="63"/>
      <c r="Z245" s="63"/>
      <c r="AA245" s="63"/>
      <c r="AB245" s="63"/>
      <c r="AC245" s="63"/>
    </row>
    <row r="246" spans="1:29" ht="15.75">
      <c r="A246" s="59"/>
      <c r="B246" s="61"/>
      <c r="C246" s="62"/>
      <c r="D246" s="62"/>
      <c r="E246" s="62"/>
      <c r="F246" s="62"/>
      <c r="G246" s="63"/>
      <c r="H246" s="63"/>
      <c r="I246" s="63"/>
      <c r="J246" s="63"/>
      <c r="K246" s="63"/>
      <c r="L246" s="63"/>
      <c r="M246" s="63"/>
      <c r="N246" s="63"/>
      <c r="O246" s="63"/>
      <c r="P246" s="63"/>
      <c r="Q246" s="63"/>
      <c r="R246" s="63"/>
      <c r="S246" s="63"/>
      <c r="T246" s="63"/>
      <c r="U246" s="63"/>
      <c r="V246" s="63"/>
      <c r="W246" s="63"/>
      <c r="X246" s="63"/>
      <c r="Y246" s="63"/>
      <c r="Z246" s="63"/>
      <c r="AA246" s="63"/>
      <c r="AB246" s="63"/>
      <c r="AC246" s="63"/>
    </row>
    <row r="247" spans="1:29" ht="15.75">
      <c r="A247" s="59"/>
      <c r="B247" s="61"/>
      <c r="C247" s="62"/>
      <c r="D247" s="62"/>
      <c r="E247" s="62"/>
      <c r="F247" s="62"/>
      <c r="G247" s="63"/>
      <c r="H247" s="63"/>
      <c r="I247" s="63"/>
      <c r="J247" s="63"/>
      <c r="K247" s="63"/>
      <c r="L247" s="63"/>
      <c r="M247" s="63"/>
      <c r="N247" s="63"/>
      <c r="O247" s="63"/>
      <c r="P247" s="63"/>
      <c r="Q247" s="63"/>
      <c r="R247" s="63"/>
      <c r="S247" s="63"/>
      <c r="T247" s="63"/>
      <c r="U247" s="63"/>
      <c r="V247" s="63"/>
      <c r="W247" s="63"/>
      <c r="X247" s="63"/>
      <c r="Y247" s="63"/>
      <c r="Z247" s="63"/>
      <c r="AA247" s="63"/>
      <c r="AB247" s="63"/>
      <c r="AC247" s="63"/>
    </row>
    <row r="248" spans="1:29" ht="15.75">
      <c r="A248" s="59"/>
      <c r="B248" s="61"/>
      <c r="C248" s="62"/>
      <c r="D248" s="62"/>
      <c r="E248" s="62"/>
      <c r="F248" s="62"/>
      <c r="G248" s="63"/>
      <c r="H248" s="63"/>
      <c r="I248" s="63"/>
      <c r="J248" s="63"/>
      <c r="K248" s="63"/>
      <c r="L248" s="63"/>
      <c r="M248" s="63"/>
      <c r="N248" s="63"/>
      <c r="O248" s="63"/>
      <c r="P248" s="63"/>
      <c r="Q248" s="63"/>
      <c r="R248" s="63"/>
      <c r="S248" s="63"/>
      <c r="T248" s="63"/>
      <c r="U248" s="63"/>
      <c r="V248" s="63"/>
      <c r="W248" s="63"/>
      <c r="X248" s="63"/>
      <c r="Y248" s="63"/>
      <c r="Z248" s="63"/>
      <c r="AA248" s="63"/>
      <c r="AB248" s="63"/>
      <c r="AC248" s="63"/>
    </row>
    <row r="249" spans="1:29" ht="15.75">
      <c r="A249" s="59"/>
      <c r="B249" s="61"/>
      <c r="C249" s="62"/>
      <c r="D249" s="62"/>
      <c r="E249" s="62"/>
      <c r="F249" s="62"/>
      <c r="G249" s="63"/>
      <c r="H249" s="63"/>
      <c r="I249" s="63"/>
      <c r="J249" s="63"/>
      <c r="K249" s="63"/>
      <c r="L249" s="63"/>
      <c r="M249" s="63"/>
      <c r="N249" s="63"/>
      <c r="O249" s="63"/>
      <c r="P249" s="63"/>
      <c r="Q249" s="63"/>
      <c r="R249" s="63"/>
      <c r="S249" s="63"/>
      <c r="T249" s="63"/>
      <c r="U249" s="63"/>
      <c r="V249" s="63"/>
      <c r="W249" s="63"/>
      <c r="X249" s="63"/>
      <c r="Y249" s="63"/>
      <c r="Z249" s="63"/>
      <c r="AA249" s="63"/>
      <c r="AB249" s="63"/>
      <c r="AC249" s="63"/>
    </row>
    <row r="250" spans="1:29" ht="15.75">
      <c r="A250" s="59"/>
      <c r="B250" s="61"/>
      <c r="C250" s="62"/>
      <c r="D250" s="62"/>
      <c r="E250" s="62"/>
      <c r="F250" s="62"/>
      <c r="G250" s="63"/>
      <c r="H250" s="63"/>
      <c r="I250" s="63"/>
      <c r="J250" s="63"/>
      <c r="K250" s="63"/>
      <c r="L250" s="63"/>
      <c r="M250" s="63"/>
      <c r="N250" s="63"/>
      <c r="O250" s="63"/>
      <c r="P250" s="63"/>
      <c r="Q250" s="63"/>
      <c r="R250" s="63"/>
      <c r="S250" s="63"/>
      <c r="T250" s="63"/>
      <c r="U250" s="63"/>
      <c r="V250" s="63"/>
      <c r="W250" s="63"/>
      <c r="X250" s="63"/>
      <c r="Y250" s="63"/>
      <c r="Z250" s="63"/>
      <c r="AA250" s="63"/>
      <c r="AB250" s="63"/>
      <c r="AC250" s="63"/>
    </row>
    <row r="251" spans="1:29" ht="15.75">
      <c r="A251" s="59"/>
      <c r="B251" s="61"/>
      <c r="C251" s="62"/>
      <c r="D251" s="62"/>
      <c r="E251" s="62"/>
      <c r="F251" s="62"/>
      <c r="G251" s="63"/>
      <c r="H251" s="63"/>
      <c r="I251" s="63"/>
      <c r="J251" s="63"/>
      <c r="K251" s="63"/>
      <c r="L251" s="63"/>
      <c r="M251" s="63"/>
      <c r="N251" s="63"/>
      <c r="O251" s="63"/>
      <c r="P251" s="63"/>
      <c r="Q251" s="63"/>
      <c r="R251" s="63"/>
      <c r="S251" s="63"/>
      <c r="T251" s="63"/>
      <c r="U251" s="63"/>
      <c r="V251" s="63"/>
      <c r="W251" s="63"/>
      <c r="X251" s="63"/>
      <c r="Y251" s="63"/>
      <c r="Z251" s="63"/>
      <c r="AA251" s="63"/>
      <c r="AB251" s="63"/>
      <c r="AC251" s="63"/>
    </row>
    <row r="252" spans="1:29" ht="15.75">
      <c r="A252" s="59"/>
      <c r="B252" s="61"/>
      <c r="C252" s="62"/>
      <c r="D252" s="62"/>
      <c r="E252" s="62"/>
      <c r="F252" s="62"/>
      <c r="G252" s="63"/>
      <c r="H252" s="63"/>
      <c r="I252" s="63"/>
      <c r="J252" s="63"/>
      <c r="K252" s="63"/>
      <c r="L252" s="63"/>
      <c r="M252" s="63"/>
      <c r="N252" s="63"/>
      <c r="O252" s="63"/>
      <c r="P252" s="63"/>
      <c r="Q252" s="63"/>
      <c r="R252" s="63"/>
      <c r="S252" s="63"/>
      <c r="T252" s="63"/>
      <c r="U252" s="63"/>
      <c r="V252" s="63"/>
      <c r="W252" s="63"/>
      <c r="X252" s="63"/>
      <c r="Y252" s="63"/>
      <c r="Z252" s="63"/>
      <c r="AA252" s="63"/>
      <c r="AB252" s="63"/>
      <c r="AC252" s="63"/>
    </row>
    <row r="253" spans="1:29" ht="15.75">
      <c r="A253" s="59"/>
      <c r="B253" s="61"/>
      <c r="C253" s="62"/>
      <c r="D253" s="62"/>
      <c r="E253" s="62"/>
      <c r="F253" s="62"/>
      <c r="G253" s="63"/>
      <c r="H253" s="63"/>
      <c r="I253" s="63"/>
      <c r="J253" s="63"/>
      <c r="K253" s="63"/>
      <c r="L253" s="63"/>
      <c r="M253" s="63"/>
      <c r="N253" s="63"/>
      <c r="O253" s="63"/>
      <c r="P253" s="63"/>
      <c r="Q253" s="63"/>
      <c r="R253" s="63"/>
      <c r="S253" s="63"/>
      <c r="T253" s="63"/>
      <c r="U253" s="63"/>
      <c r="V253" s="63"/>
      <c r="W253" s="63"/>
      <c r="X253" s="63"/>
      <c r="Y253" s="63"/>
      <c r="Z253" s="63"/>
      <c r="AA253" s="63"/>
      <c r="AB253" s="63"/>
      <c r="AC253" s="63"/>
    </row>
    <row r="254" spans="1:29" ht="15.75">
      <c r="A254" s="59"/>
      <c r="B254" s="61"/>
      <c r="C254" s="62"/>
      <c r="D254" s="62"/>
      <c r="E254" s="62"/>
      <c r="F254" s="62"/>
      <c r="G254" s="63"/>
      <c r="H254" s="63"/>
      <c r="I254" s="63"/>
      <c r="J254" s="63"/>
      <c r="K254" s="63"/>
      <c r="L254" s="63"/>
      <c r="M254" s="63"/>
      <c r="N254" s="63"/>
      <c r="O254" s="63"/>
      <c r="P254" s="63"/>
      <c r="Q254" s="63"/>
      <c r="R254" s="63"/>
      <c r="S254" s="63"/>
      <c r="T254" s="63"/>
      <c r="U254" s="63"/>
      <c r="V254" s="63"/>
      <c r="W254" s="63"/>
      <c r="X254" s="63"/>
      <c r="Y254" s="63"/>
      <c r="Z254" s="63"/>
      <c r="AA254" s="63"/>
      <c r="AB254" s="63"/>
      <c r="AC254" s="63"/>
    </row>
    <row r="255" spans="1:29" ht="15.75">
      <c r="A255" s="59"/>
      <c r="B255" s="61"/>
      <c r="C255" s="62"/>
      <c r="D255" s="62"/>
      <c r="E255" s="62"/>
      <c r="F255" s="62"/>
      <c r="G255" s="63"/>
      <c r="H255" s="63"/>
      <c r="I255" s="63"/>
      <c r="J255" s="63"/>
      <c r="K255" s="63"/>
      <c r="L255" s="63"/>
      <c r="M255" s="63"/>
      <c r="N255" s="63"/>
      <c r="O255" s="63"/>
      <c r="P255" s="63"/>
      <c r="Q255" s="63"/>
      <c r="R255" s="63"/>
      <c r="S255" s="63"/>
      <c r="T255" s="63"/>
      <c r="U255" s="63"/>
      <c r="V255" s="63"/>
      <c r="W255" s="63"/>
      <c r="X255" s="63"/>
      <c r="Y255" s="63"/>
      <c r="Z255" s="63"/>
      <c r="AA255" s="63"/>
      <c r="AB255" s="63"/>
      <c r="AC255" s="63"/>
    </row>
    <row r="256" spans="1:29" ht="15.75">
      <c r="A256" s="59"/>
      <c r="B256" s="61"/>
      <c r="C256" s="62"/>
      <c r="D256" s="62"/>
      <c r="E256" s="62"/>
      <c r="F256" s="62"/>
      <c r="G256" s="63"/>
      <c r="H256" s="63"/>
      <c r="I256" s="63"/>
      <c r="J256" s="63"/>
      <c r="K256" s="63"/>
      <c r="L256" s="63"/>
      <c r="M256" s="63"/>
      <c r="N256" s="63"/>
      <c r="O256" s="63"/>
      <c r="P256" s="63"/>
      <c r="Q256" s="63"/>
      <c r="R256" s="63"/>
      <c r="S256" s="63"/>
      <c r="T256" s="63"/>
      <c r="U256" s="63"/>
      <c r="V256" s="63"/>
      <c r="W256" s="63"/>
      <c r="X256" s="63"/>
      <c r="Y256" s="63"/>
      <c r="Z256" s="63"/>
      <c r="AA256" s="63"/>
      <c r="AB256" s="63"/>
      <c r="AC256" s="63"/>
    </row>
    <row r="257" spans="1:29" ht="15.75">
      <c r="A257" s="59"/>
      <c r="B257" s="61"/>
      <c r="C257" s="62"/>
      <c r="D257" s="62"/>
      <c r="E257" s="62"/>
      <c r="F257" s="62"/>
      <c r="G257" s="63"/>
      <c r="H257" s="63"/>
      <c r="I257" s="63"/>
      <c r="J257" s="63"/>
      <c r="K257" s="63"/>
      <c r="L257" s="63"/>
      <c r="M257" s="63"/>
      <c r="N257" s="63"/>
      <c r="O257" s="63"/>
      <c r="P257" s="63"/>
      <c r="Q257" s="63"/>
      <c r="R257" s="63"/>
      <c r="S257" s="63"/>
      <c r="T257" s="63"/>
      <c r="U257" s="63"/>
      <c r="V257" s="63"/>
      <c r="W257" s="63"/>
      <c r="X257" s="63"/>
      <c r="Y257" s="63"/>
      <c r="Z257" s="63"/>
      <c r="AA257" s="63"/>
      <c r="AB257" s="63"/>
      <c r="AC257" s="63"/>
    </row>
    <row r="258" spans="1:29" ht="15.75">
      <c r="A258" s="59"/>
      <c r="B258" s="61"/>
      <c r="C258" s="62"/>
      <c r="D258" s="62"/>
      <c r="E258" s="62"/>
      <c r="F258" s="62"/>
      <c r="G258" s="63"/>
      <c r="H258" s="63"/>
      <c r="I258" s="63"/>
      <c r="J258" s="63"/>
      <c r="K258" s="63"/>
      <c r="L258" s="63"/>
      <c r="M258" s="63"/>
      <c r="N258" s="63"/>
      <c r="O258" s="63"/>
      <c r="P258" s="63"/>
      <c r="Q258" s="63"/>
      <c r="R258" s="63"/>
      <c r="S258" s="63"/>
      <c r="T258" s="63"/>
      <c r="U258" s="63"/>
      <c r="V258" s="63"/>
      <c r="W258" s="63"/>
      <c r="X258" s="63"/>
      <c r="Y258" s="63"/>
      <c r="Z258" s="63"/>
      <c r="AA258" s="63"/>
      <c r="AB258" s="63"/>
      <c r="AC258" s="63"/>
    </row>
    <row r="259" spans="1:29" ht="15.75">
      <c r="A259" s="59"/>
      <c r="B259" s="61"/>
      <c r="C259" s="62"/>
      <c r="D259" s="62"/>
      <c r="E259" s="62"/>
      <c r="F259" s="62"/>
      <c r="G259" s="63"/>
      <c r="H259" s="63"/>
      <c r="I259" s="63"/>
      <c r="J259" s="63"/>
      <c r="K259" s="63"/>
      <c r="L259" s="63"/>
      <c r="M259" s="63"/>
      <c r="N259" s="63"/>
      <c r="O259" s="63"/>
      <c r="P259" s="63"/>
      <c r="Q259" s="63"/>
      <c r="R259" s="63"/>
      <c r="S259" s="63"/>
      <c r="T259" s="63"/>
      <c r="U259" s="63"/>
      <c r="V259" s="63"/>
      <c r="W259" s="63"/>
      <c r="X259" s="63"/>
      <c r="Y259" s="63"/>
      <c r="Z259" s="63"/>
      <c r="AA259" s="63"/>
      <c r="AB259" s="63"/>
      <c r="AC259" s="63"/>
    </row>
    <row r="260" spans="1:29" ht="15.75">
      <c r="A260" s="59"/>
      <c r="B260" s="61"/>
      <c r="C260" s="62"/>
      <c r="D260" s="62"/>
      <c r="E260" s="62"/>
      <c r="F260" s="62"/>
      <c r="G260" s="63"/>
      <c r="H260" s="63"/>
      <c r="I260" s="63"/>
      <c r="J260" s="63"/>
      <c r="K260" s="63"/>
      <c r="L260" s="63"/>
      <c r="M260" s="63"/>
      <c r="N260" s="63"/>
      <c r="O260" s="63"/>
      <c r="P260" s="63"/>
      <c r="Q260" s="63"/>
      <c r="R260" s="63"/>
      <c r="S260" s="63"/>
      <c r="T260" s="63"/>
      <c r="U260" s="63"/>
      <c r="V260" s="63"/>
      <c r="W260" s="63"/>
      <c r="X260" s="63"/>
      <c r="Y260" s="63"/>
      <c r="Z260" s="63"/>
      <c r="AA260" s="63"/>
      <c r="AB260" s="63"/>
      <c r="AC260" s="63"/>
    </row>
    <row r="261" spans="1:29" ht="15.75">
      <c r="A261" s="59"/>
      <c r="B261" s="61"/>
      <c r="C261" s="62"/>
      <c r="D261" s="62"/>
      <c r="E261" s="62"/>
      <c r="F261" s="62"/>
      <c r="G261" s="63"/>
      <c r="H261" s="63"/>
      <c r="I261" s="63"/>
      <c r="J261" s="63"/>
      <c r="K261" s="63"/>
      <c r="L261" s="63"/>
      <c r="M261" s="63"/>
      <c r="N261" s="63"/>
      <c r="O261" s="63"/>
      <c r="P261" s="63"/>
      <c r="Q261" s="63"/>
      <c r="R261" s="63"/>
      <c r="S261" s="63"/>
      <c r="T261" s="63"/>
      <c r="U261" s="63"/>
      <c r="V261" s="63"/>
      <c r="W261" s="63"/>
      <c r="X261" s="63"/>
      <c r="Y261" s="63"/>
      <c r="Z261" s="63"/>
      <c r="AA261" s="63"/>
      <c r="AB261" s="63"/>
      <c r="AC261" s="63"/>
    </row>
    <row r="262" spans="1:29" ht="15.75">
      <c r="A262" s="59"/>
      <c r="B262" s="61"/>
      <c r="C262" s="62"/>
      <c r="D262" s="62"/>
      <c r="E262" s="62"/>
      <c r="F262" s="62"/>
      <c r="G262" s="63"/>
      <c r="H262" s="63"/>
      <c r="I262" s="63"/>
      <c r="J262" s="63"/>
      <c r="K262" s="63"/>
      <c r="L262" s="63"/>
      <c r="M262" s="63"/>
      <c r="N262" s="63"/>
      <c r="O262" s="63"/>
      <c r="P262" s="63"/>
      <c r="Q262" s="63"/>
      <c r="R262" s="63"/>
      <c r="S262" s="63"/>
      <c r="T262" s="63"/>
      <c r="U262" s="63"/>
      <c r="V262" s="63"/>
      <c r="W262" s="63"/>
      <c r="X262" s="63"/>
      <c r="Y262" s="63"/>
      <c r="Z262" s="63"/>
      <c r="AA262" s="63"/>
      <c r="AB262" s="63"/>
      <c r="AC262" s="63"/>
    </row>
    <row r="263" spans="1:29" ht="15.75">
      <c r="A263" s="59"/>
      <c r="B263" s="61"/>
      <c r="C263" s="62"/>
      <c r="D263" s="62"/>
      <c r="E263" s="62"/>
      <c r="F263" s="62"/>
      <c r="G263" s="63"/>
      <c r="H263" s="63"/>
      <c r="I263" s="63"/>
      <c r="J263" s="63"/>
      <c r="K263" s="63"/>
      <c r="L263" s="63"/>
      <c r="M263" s="63"/>
      <c r="N263" s="63"/>
      <c r="O263" s="63"/>
      <c r="P263" s="63"/>
      <c r="Q263" s="63"/>
      <c r="R263" s="63"/>
      <c r="S263" s="63"/>
      <c r="T263" s="63"/>
      <c r="U263" s="63"/>
      <c r="V263" s="63"/>
      <c r="W263" s="63"/>
      <c r="X263" s="63"/>
      <c r="Y263" s="63"/>
      <c r="Z263" s="63"/>
      <c r="AA263" s="63"/>
      <c r="AB263" s="63"/>
      <c r="AC263" s="63"/>
    </row>
    <row r="264" spans="1:29" ht="15.75">
      <c r="A264" s="59"/>
      <c r="B264" s="61"/>
      <c r="C264" s="62"/>
      <c r="D264" s="62"/>
      <c r="E264" s="62"/>
      <c r="F264" s="62"/>
      <c r="G264" s="63"/>
      <c r="H264" s="63"/>
      <c r="I264" s="63"/>
      <c r="J264" s="63"/>
      <c r="K264" s="63"/>
      <c r="L264" s="63"/>
      <c r="M264" s="63"/>
      <c r="N264" s="63"/>
      <c r="O264" s="63"/>
      <c r="P264" s="63"/>
      <c r="Q264" s="63"/>
      <c r="R264" s="63"/>
      <c r="S264" s="63"/>
      <c r="T264" s="63"/>
      <c r="U264" s="63"/>
      <c r="V264" s="63"/>
      <c r="W264" s="63"/>
      <c r="X264" s="63"/>
      <c r="Y264" s="63"/>
      <c r="Z264" s="63"/>
      <c r="AA264" s="63"/>
      <c r="AB264" s="63"/>
      <c r="AC264" s="63"/>
    </row>
    <row r="265" spans="1:29" ht="15.75">
      <c r="A265" s="59"/>
      <c r="B265" s="61"/>
      <c r="C265" s="62"/>
      <c r="D265" s="62"/>
      <c r="E265" s="62"/>
      <c r="F265" s="62"/>
      <c r="G265" s="63"/>
      <c r="H265" s="63"/>
      <c r="I265" s="63"/>
      <c r="J265" s="63"/>
      <c r="K265" s="63"/>
      <c r="L265" s="63"/>
      <c r="M265" s="63"/>
      <c r="N265" s="63"/>
      <c r="O265" s="63"/>
      <c r="P265" s="63"/>
      <c r="Q265" s="63"/>
      <c r="R265" s="63"/>
      <c r="S265" s="63"/>
      <c r="T265" s="63"/>
      <c r="U265" s="63"/>
      <c r="V265" s="63"/>
      <c r="W265" s="63"/>
      <c r="X265" s="63"/>
      <c r="Y265" s="63"/>
      <c r="Z265" s="63"/>
      <c r="AA265" s="63"/>
      <c r="AB265" s="63"/>
      <c r="AC265" s="63"/>
    </row>
    <row r="266" spans="1:29" ht="15.75">
      <c r="A266" s="59"/>
      <c r="B266" s="61"/>
      <c r="C266" s="62"/>
      <c r="D266" s="62"/>
      <c r="E266" s="62"/>
      <c r="F266" s="62"/>
      <c r="G266" s="63"/>
      <c r="H266" s="63"/>
      <c r="I266" s="63"/>
      <c r="J266" s="63"/>
      <c r="K266" s="63"/>
      <c r="L266" s="63"/>
      <c r="M266" s="63"/>
      <c r="N266" s="63"/>
      <c r="O266" s="63"/>
      <c r="P266" s="63"/>
      <c r="Q266" s="63"/>
      <c r="R266" s="63"/>
      <c r="S266" s="63"/>
      <c r="T266" s="63"/>
      <c r="U266" s="63"/>
      <c r="V266" s="63"/>
      <c r="W266" s="63"/>
      <c r="X266" s="63"/>
      <c r="Y266" s="63"/>
      <c r="Z266" s="63"/>
      <c r="AA266" s="63"/>
      <c r="AB266" s="63"/>
      <c r="AC266" s="63"/>
    </row>
    <row r="267" spans="1:29" ht="15.75">
      <c r="A267" s="59"/>
      <c r="B267" s="61"/>
      <c r="C267" s="62"/>
      <c r="D267" s="62"/>
      <c r="E267" s="62"/>
      <c r="F267" s="62"/>
      <c r="G267" s="63"/>
      <c r="H267" s="63"/>
      <c r="I267" s="63"/>
      <c r="J267" s="63"/>
      <c r="K267" s="63"/>
      <c r="L267" s="63"/>
      <c r="M267" s="63"/>
      <c r="N267" s="63"/>
      <c r="O267" s="63"/>
      <c r="P267" s="63"/>
      <c r="Q267" s="63"/>
      <c r="R267" s="63"/>
      <c r="S267" s="63"/>
      <c r="T267" s="63"/>
      <c r="U267" s="63"/>
      <c r="V267" s="63"/>
      <c r="W267" s="63"/>
      <c r="X267" s="63"/>
      <c r="Y267" s="63"/>
      <c r="Z267" s="63"/>
      <c r="AA267" s="63"/>
      <c r="AB267" s="63"/>
      <c r="AC267" s="63"/>
    </row>
    <row r="268" spans="1:29" ht="15.75">
      <c r="A268" s="59"/>
      <c r="B268" s="61"/>
      <c r="C268" s="62"/>
      <c r="D268" s="62"/>
      <c r="E268" s="62"/>
      <c r="F268" s="62"/>
      <c r="G268" s="63"/>
      <c r="H268" s="63"/>
      <c r="I268" s="63"/>
      <c r="J268" s="63"/>
      <c r="K268" s="63"/>
      <c r="L268" s="63"/>
      <c r="M268" s="63"/>
      <c r="N268" s="63"/>
      <c r="O268" s="63"/>
      <c r="P268" s="63"/>
      <c r="Q268" s="63"/>
      <c r="R268" s="63"/>
      <c r="S268" s="63"/>
      <c r="T268" s="63"/>
      <c r="U268" s="63"/>
      <c r="V268" s="63"/>
      <c r="W268" s="63"/>
      <c r="X268" s="63"/>
      <c r="Y268" s="63"/>
      <c r="Z268" s="63"/>
      <c r="AA268" s="63"/>
      <c r="AB268" s="63"/>
      <c r="AC268" s="63"/>
    </row>
    <row r="269" spans="1:29" ht="15.75">
      <c r="A269" s="59"/>
      <c r="B269" s="61"/>
      <c r="C269" s="62"/>
      <c r="D269" s="62"/>
      <c r="E269" s="62"/>
      <c r="F269" s="62"/>
      <c r="G269" s="63"/>
      <c r="H269" s="63"/>
      <c r="I269" s="63"/>
      <c r="J269" s="63"/>
      <c r="K269" s="63"/>
      <c r="L269" s="63"/>
      <c r="M269" s="63"/>
      <c r="N269" s="63"/>
      <c r="O269" s="63"/>
      <c r="P269" s="63"/>
      <c r="Q269" s="63"/>
      <c r="R269" s="63"/>
      <c r="S269" s="63"/>
      <c r="T269" s="63"/>
      <c r="U269" s="63"/>
      <c r="V269" s="63"/>
      <c r="W269" s="63"/>
      <c r="X269" s="63"/>
      <c r="Y269" s="63"/>
      <c r="Z269" s="63"/>
      <c r="AA269" s="63"/>
      <c r="AB269" s="63"/>
      <c r="AC269" s="63"/>
    </row>
    <row r="270" spans="1:29" ht="15.75">
      <c r="A270" s="59"/>
      <c r="B270" s="61"/>
      <c r="C270" s="62"/>
      <c r="D270" s="62"/>
      <c r="E270" s="62"/>
      <c r="F270" s="62"/>
      <c r="G270" s="63"/>
      <c r="H270" s="63"/>
      <c r="I270" s="63"/>
      <c r="J270" s="63"/>
      <c r="K270" s="63"/>
      <c r="L270" s="63"/>
      <c r="M270" s="63"/>
      <c r="N270" s="63"/>
      <c r="O270" s="63"/>
      <c r="P270" s="63"/>
      <c r="Q270" s="63"/>
      <c r="R270" s="63"/>
      <c r="S270" s="63"/>
      <c r="T270" s="63"/>
      <c r="U270" s="63"/>
      <c r="V270" s="63"/>
      <c r="W270" s="63"/>
      <c r="X270" s="63"/>
      <c r="Y270" s="63"/>
      <c r="Z270" s="63"/>
      <c r="AA270" s="63"/>
      <c r="AB270" s="63"/>
      <c r="AC270" s="63"/>
    </row>
    <row r="271" spans="1:29" ht="15.75">
      <c r="A271" s="59"/>
      <c r="B271" s="61"/>
      <c r="C271" s="62"/>
      <c r="D271" s="62"/>
      <c r="E271" s="62"/>
      <c r="F271" s="62"/>
      <c r="G271" s="63"/>
      <c r="H271" s="63"/>
      <c r="I271" s="63"/>
      <c r="J271" s="63"/>
      <c r="K271" s="63"/>
      <c r="L271" s="63"/>
      <c r="M271" s="63"/>
      <c r="N271" s="63"/>
      <c r="O271" s="63"/>
      <c r="P271" s="63"/>
      <c r="Q271" s="63"/>
      <c r="R271" s="63"/>
      <c r="S271" s="63"/>
      <c r="T271" s="63"/>
      <c r="U271" s="63"/>
      <c r="V271" s="63"/>
      <c r="W271" s="63"/>
      <c r="X271" s="63"/>
      <c r="Y271" s="63"/>
      <c r="Z271" s="63"/>
      <c r="AA271" s="63"/>
      <c r="AB271" s="63"/>
      <c r="AC271" s="63"/>
    </row>
    <row r="272" spans="1:29" ht="15.75">
      <c r="A272" s="59"/>
      <c r="B272" s="61"/>
      <c r="C272" s="62"/>
      <c r="D272" s="62"/>
      <c r="E272" s="62"/>
      <c r="F272" s="62"/>
      <c r="G272" s="63"/>
      <c r="H272" s="63"/>
      <c r="I272" s="63"/>
      <c r="J272" s="63"/>
      <c r="K272" s="63"/>
      <c r="L272" s="63"/>
      <c r="M272" s="63"/>
      <c r="N272" s="63"/>
      <c r="O272" s="63"/>
      <c r="P272" s="63"/>
      <c r="Q272" s="63"/>
      <c r="R272" s="63"/>
      <c r="S272" s="63"/>
      <c r="T272" s="63"/>
      <c r="U272" s="63"/>
      <c r="V272" s="63"/>
      <c r="W272" s="63"/>
      <c r="X272" s="63"/>
      <c r="Y272" s="63"/>
      <c r="Z272" s="63"/>
      <c r="AA272" s="63"/>
      <c r="AB272" s="63"/>
      <c r="AC272" s="63"/>
    </row>
    <row r="273" spans="1:29" ht="15.75">
      <c r="A273" s="59"/>
      <c r="B273" s="61"/>
      <c r="C273" s="62"/>
      <c r="D273" s="62"/>
      <c r="E273" s="62"/>
      <c r="F273" s="62"/>
      <c r="G273" s="63"/>
      <c r="H273" s="63"/>
      <c r="I273" s="63"/>
      <c r="J273" s="63"/>
      <c r="K273" s="63"/>
      <c r="L273" s="63"/>
      <c r="M273" s="63"/>
      <c r="N273" s="63"/>
      <c r="O273" s="63"/>
      <c r="P273" s="63"/>
      <c r="Q273" s="63"/>
      <c r="R273" s="63"/>
      <c r="S273" s="63"/>
      <c r="T273" s="63"/>
      <c r="U273" s="63"/>
      <c r="V273" s="63"/>
      <c r="W273" s="63"/>
      <c r="X273" s="63"/>
      <c r="Y273" s="63"/>
      <c r="Z273" s="63"/>
      <c r="AA273" s="63"/>
      <c r="AB273" s="63"/>
      <c r="AC273" s="63"/>
    </row>
    <row r="274" spans="1:29" ht="15.75">
      <c r="A274" s="59"/>
      <c r="B274" s="61"/>
      <c r="C274" s="62"/>
      <c r="D274" s="62"/>
      <c r="E274" s="62"/>
      <c r="F274" s="62"/>
      <c r="G274" s="63"/>
      <c r="H274" s="63"/>
      <c r="I274" s="63"/>
      <c r="J274" s="63"/>
      <c r="K274" s="63"/>
      <c r="L274" s="63"/>
      <c r="M274" s="63"/>
      <c r="N274" s="63"/>
      <c r="O274" s="63"/>
      <c r="P274" s="63"/>
      <c r="Q274" s="63"/>
      <c r="R274" s="63"/>
      <c r="S274" s="63"/>
      <c r="T274" s="63"/>
      <c r="U274" s="63"/>
      <c r="V274" s="63"/>
      <c r="W274" s="63"/>
      <c r="X274" s="63"/>
      <c r="Y274" s="63"/>
      <c r="Z274" s="63"/>
      <c r="AA274" s="63"/>
      <c r="AB274" s="63"/>
      <c r="AC274" s="63"/>
    </row>
    <row r="275" spans="1:29" ht="15.75">
      <c r="A275" s="59"/>
      <c r="B275" s="61"/>
      <c r="C275" s="62"/>
      <c r="D275" s="62"/>
      <c r="E275" s="62"/>
      <c r="F275" s="62"/>
      <c r="G275" s="63"/>
      <c r="H275" s="63"/>
      <c r="I275" s="63"/>
      <c r="J275" s="63"/>
      <c r="K275" s="63"/>
      <c r="L275" s="63"/>
      <c r="M275" s="63"/>
      <c r="N275" s="63"/>
      <c r="O275" s="63"/>
      <c r="P275" s="63"/>
      <c r="Q275" s="63"/>
      <c r="R275" s="63"/>
      <c r="S275" s="63"/>
      <c r="T275" s="63"/>
      <c r="U275" s="63"/>
      <c r="V275" s="63"/>
      <c r="W275" s="63"/>
      <c r="X275" s="63"/>
      <c r="Y275" s="63"/>
      <c r="Z275" s="63"/>
      <c r="AA275" s="63"/>
      <c r="AB275" s="63"/>
      <c r="AC275" s="63"/>
    </row>
    <row r="276" spans="1:29" ht="15.75">
      <c r="A276" s="59"/>
      <c r="B276" s="61"/>
      <c r="C276" s="62"/>
      <c r="D276" s="62"/>
      <c r="E276" s="62"/>
      <c r="F276" s="62"/>
      <c r="G276" s="63"/>
      <c r="H276" s="63"/>
      <c r="I276" s="63"/>
      <c r="J276" s="63"/>
      <c r="K276" s="63"/>
      <c r="L276" s="63"/>
      <c r="M276" s="63"/>
      <c r="N276" s="63"/>
      <c r="O276" s="63"/>
      <c r="P276" s="63"/>
      <c r="Q276" s="63"/>
      <c r="R276" s="63"/>
      <c r="S276" s="63"/>
      <c r="T276" s="63"/>
      <c r="U276" s="63"/>
      <c r="V276" s="63"/>
      <c r="W276" s="63"/>
      <c r="X276" s="63"/>
      <c r="Y276" s="63"/>
      <c r="Z276" s="63"/>
      <c r="AA276" s="63"/>
      <c r="AB276" s="63"/>
      <c r="AC276" s="63"/>
    </row>
    <row r="277" spans="1:29" ht="15.75">
      <c r="A277" s="59"/>
      <c r="B277" s="61"/>
      <c r="C277" s="62"/>
      <c r="D277" s="62"/>
      <c r="E277" s="62"/>
      <c r="F277" s="62"/>
      <c r="G277" s="63"/>
      <c r="H277" s="63"/>
      <c r="I277" s="63"/>
      <c r="J277" s="63"/>
      <c r="K277" s="63"/>
      <c r="L277" s="63"/>
      <c r="M277" s="63"/>
      <c r="N277" s="63"/>
      <c r="O277" s="63"/>
      <c r="P277" s="63"/>
      <c r="Q277" s="63"/>
      <c r="R277" s="63"/>
      <c r="S277" s="63"/>
      <c r="T277" s="63"/>
      <c r="U277" s="63"/>
      <c r="V277" s="63"/>
      <c r="W277" s="63"/>
      <c r="X277" s="63"/>
      <c r="Y277" s="63"/>
      <c r="Z277" s="63"/>
      <c r="AA277" s="63"/>
      <c r="AB277" s="63"/>
      <c r="AC277" s="63"/>
    </row>
    <row r="278" spans="1:29" ht="15.75">
      <c r="A278" s="59"/>
      <c r="B278" s="61"/>
      <c r="C278" s="62"/>
      <c r="D278" s="62"/>
      <c r="E278" s="62"/>
      <c r="F278" s="62"/>
      <c r="G278" s="63"/>
      <c r="H278" s="63"/>
      <c r="I278" s="63"/>
      <c r="J278" s="63"/>
      <c r="K278" s="63"/>
      <c r="L278" s="63"/>
      <c r="M278" s="63"/>
      <c r="N278" s="63"/>
      <c r="O278" s="63"/>
      <c r="P278" s="63"/>
      <c r="Q278" s="63"/>
      <c r="R278" s="63"/>
      <c r="S278" s="63"/>
      <c r="T278" s="63"/>
      <c r="U278" s="63"/>
      <c r="V278" s="63"/>
      <c r="W278" s="63"/>
      <c r="X278" s="63"/>
      <c r="Y278" s="63"/>
      <c r="Z278" s="63"/>
      <c r="AA278" s="63"/>
      <c r="AB278" s="63"/>
      <c r="AC278" s="63"/>
    </row>
    <row r="279" spans="1:29" ht="15.75">
      <c r="A279" s="59"/>
      <c r="B279" s="61"/>
      <c r="C279" s="62"/>
      <c r="D279" s="62"/>
      <c r="E279" s="62"/>
      <c r="F279" s="62"/>
      <c r="G279" s="63"/>
      <c r="H279" s="63"/>
      <c r="I279" s="63"/>
      <c r="J279" s="63"/>
      <c r="K279" s="63"/>
      <c r="L279" s="63"/>
      <c r="M279" s="63"/>
      <c r="N279" s="63"/>
      <c r="O279" s="63"/>
      <c r="P279" s="63"/>
      <c r="Q279" s="63"/>
      <c r="R279" s="63"/>
      <c r="S279" s="63"/>
      <c r="T279" s="63"/>
      <c r="U279" s="63"/>
      <c r="V279" s="63"/>
      <c r="W279" s="63"/>
      <c r="X279" s="63"/>
      <c r="Y279" s="63"/>
      <c r="Z279" s="63"/>
      <c r="AA279" s="63"/>
      <c r="AB279" s="63"/>
      <c r="AC279" s="63"/>
    </row>
    <row r="280" spans="1:29" ht="15.75">
      <c r="A280" s="59"/>
      <c r="B280" s="61"/>
      <c r="C280" s="62"/>
      <c r="D280" s="62"/>
      <c r="E280" s="62"/>
      <c r="F280" s="62"/>
      <c r="G280" s="63"/>
      <c r="H280" s="63"/>
      <c r="I280" s="63"/>
      <c r="J280" s="63"/>
      <c r="K280" s="63"/>
      <c r="L280" s="63"/>
      <c r="M280" s="63"/>
      <c r="N280" s="63"/>
      <c r="O280" s="63"/>
      <c r="P280" s="63"/>
      <c r="Q280" s="63"/>
      <c r="R280" s="63"/>
      <c r="S280" s="63"/>
      <c r="T280" s="63"/>
      <c r="U280" s="63"/>
      <c r="V280" s="63"/>
      <c r="W280" s="63"/>
      <c r="X280" s="63"/>
      <c r="Y280" s="63"/>
      <c r="Z280" s="63"/>
      <c r="AA280" s="63"/>
      <c r="AB280" s="63"/>
      <c r="AC280" s="63"/>
    </row>
    <row r="281" spans="1:29" ht="15.75">
      <c r="A281" s="59"/>
      <c r="B281" s="61"/>
      <c r="C281" s="62"/>
      <c r="D281" s="62"/>
      <c r="E281" s="62"/>
      <c r="F281" s="62"/>
      <c r="G281" s="63"/>
      <c r="H281" s="63"/>
      <c r="I281" s="63"/>
      <c r="J281" s="63"/>
      <c r="K281" s="63"/>
      <c r="L281" s="63"/>
      <c r="M281" s="63"/>
      <c r="N281" s="63"/>
      <c r="O281" s="63"/>
      <c r="P281" s="63"/>
      <c r="Q281" s="63"/>
      <c r="R281" s="63"/>
      <c r="S281" s="63"/>
      <c r="T281" s="63"/>
      <c r="U281" s="63"/>
      <c r="V281" s="63"/>
      <c r="W281" s="63"/>
      <c r="X281" s="63"/>
      <c r="Y281" s="63"/>
      <c r="Z281" s="63"/>
      <c r="AA281" s="63"/>
      <c r="AB281" s="63"/>
      <c r="AC281" s="63"/>
    </row>
    <row r="282" spans="1:29" ht="15.75">
      <c r="A282" s="59"/>
      <c r="B282" s="61"/>
      <c r="C282" s="62"/>
      <c r="D282" s="62"/>
      <c r="E282" s="62"/>
      <c r="F282" s="62"/>
      <c r="G282" s="63"/>
      <c r="H282" s="63"/>
      <c r="I282" s="63"/>
      <c r="J282" s="63"/>
      <c r="K282" s="63"/>
      <c r="L282" s="63"/>
      <c r="M282" s="63"/>
      <c r="N282" s="63"/>
      <c r="O282" s="63"/>
      <c r="P282" s="63"/>
      <c r="Q282" s="63"/>
      <c r="R282" s="63"/>
      <c r="S282" s="63"/>
      <c r="T282" s="63"/>
      <c r="U282" s="63"/>
      <c r="V282" s="63"/>
      <c r="W282" s="63"/>
      <c r="X282" s="63"/>
      <c r="Y282" s="63"/>
      <c r="Z282" s="63"/>
      <c r="AA282" s="63"/>
      <c r="AB282" s="63"/>
      <c r="AC282" s="63"/>
    </row>
    <row r="283" spans="1:29" ht="15.75">
      <c r="A283" s="59"/>
      <c r="B283" s="61"/>
      <c r="C283" s="62"/>
      <c r="D283" s="62"/>
      <c r="E283" s="62"/>
      <c r="F283" s="62"/>
      <c r="G283" s="63"/>
      <c r="H283" s="63"/>
      <c r="I283" s="63"/>
      <c r="J283" s="63"/>
      <c r="K283" s="63"/>
      <c r="L283" s="63"/>
      <c r="M283" s="63"/>
      <c r="N283" s="63"/>
      <c r="O283" s="63"/>
      <c r="P283" s="63"/>
      <c r="Q283" s="63"/>
      <c r="R283" s="63"/>
      <c r="S283" s="63"/>
      <c r="T283" s="63"/>
      <c r="U283" s="63"/>
      <c r="V283" s="63"/>
      <c r="W283" s="63"/>
      <c r="X283" s="63"/>
      <c r="Y283" s="63"/>
      <c r="Z283" s="63"/>
      <c r="AA283" s="63"/>
      <c r="AB283" s="63"/>
      <c r="AC283" s="63"/>
    </row>
    <row r="284" spans="1:29" ht="15.75">
      <c r="A284" s="59"/>
      <c r="B284" s="61"/>
      <c r="C284" s="62"/>
      <c r="D284" s="62"/>
      <c r="E284" s="62"/>
      <c r="F284" s="62"/>
      <c r="G284" s="63"/>
      <c r="H284" s="63"/>
      <c r="I284" s="63"/>
      <c r="J284" s="63"/>
      <c r="K284" s="63"/>
      <c r="L284" s="63"/>
      <c r="M284" s="63"/>
      <c r="N284" s="63"/>
      <c r="O284" s="63"/>
      <c r="P284" s="63"/>
      <c r="Q284" s="63"/>
      <c r="R284" s="63"/>
      <c r="S284" s="63"/>
      <c r="T284" s="63"/>
      <c r="U284" s="63"/>
      <c r="V284" s="63"/>
      <c r="W284" s="63"/>
      <c r="X284" s="63"/>
      <c r="Y284" s="63"/>
      <c r="Z284" s="63"/>
      <c r="AA284" s="63"/>
      <c r="AB284" s="63"/>
      <c r="AC284" s="63"/>
    </row>
    <row r="285" spans="1:29" ht="15.75">
      <c r="A285" s="59"/>
      <c r="B285" s="61"/>
      <c r="C285" s="62"/>
      <c r="D285" s="62"/>
      <c r="E285" s="62"/>
      <c r="F285" s="62"/>
      <c r="G285" s="63"/>
      <c r="H285" s="63"/>
      <c r="I285" s="63"/>
      <c r="J285" s="63"/>
      <c r="K285" s="63"/>
      <c r="L285" s="63"/>
      <c r="M285" s="63"/>
      <c r="N285" s="63"/>
      <c r="O285" s="63"/>
      <c r="P285" s="63"/>
      <c r="Q285" s="63"/>
      <c r="R285" s="63"/>
      <c r="S285" s="63"/>
      <c r="T285" s="63"/>
      <c r="U285" s="63"/>
      <c r="V285" s="63"/>
      <c r="W285" s="63"/>
      <c r="X285" s="63"/>
      <c r="Y285" s="63"/>
      <c r="Z285" s="63"/>
      <c r="AA285" s="63"/>
      <c r="AB285" s="63"/>
      <c r="AC285" s="63"/>
    </row>
    <row r="286" spans="1:29" ht="15.75">
      <c r="A286" s="59"/>
      <c r="B286" s="61"/>
      <c r="C286" s="62"/>
      <c r="D286" s="62"/>
      <c r="E286" s="62"/>
      <c r="F286" s="62"/>
      <c r="G286" s="63"/>
      <c r="H286" s="63"/>
      <c r="I286" s="63"/>
      <c r="J286" s="63"/>
      <c r="K286" s="63"/>
      <c r="L286" s="63"/>
      <c r="M286" s="63"/>
      <c r="N286" s="63"/>
      <c r="O286" s="63"/>
      <c r="P286" s="63"/>
      <c r="Q286" s="63"/>
      <c r="R286" s="63"/>
      <c r="S286" s="63"/>
      <c r="T286" s="63"/>
      <c r="U286" s="63"/>
      <c r="V286" s="63"/>
      <c r="W286" s="63"/>
      <c r="X286" s="63"/>
      <c r="Y286" s="63"/>
      <c r="Z286" s="63"/>
      <c r="AA286" s="63"/>
      <c r="AB286" s="63"/>
      <c r="AC286" s="63"/>
    </row>
    <row r="287" spans="1:29" ht="15.75">
      <c r="A287" s="59"/>
      <c r="B287" s="61"/>
      <c r="C287" s="62"/>
      <c r="D287" s="62"/>
      <c r="E287" s="62"/>
      <c r="F287" s="62"/>
      <c r="G287" s="63"/>
      <c r="H287" s="63"/>
      <c r="I287" s="63"/>
      <c r="J287" s="63"/>
      <c r="K287" s="63"/>
      <c r="L287" s="63"/>
      <c r="M287" s="63"/>
      <c r="N287" s="63"/>
      <c r="O287" s="63"/>
      <c r="P287" s="63"/>
      <c r="Q287" s="63"/>
      <c r="R287" s="63"/>
      <c r="S287" s="63"/>
      <c r="T287" s="63"/>
      <c r="U287" s="63"/>
      <c r="V287" s="63"/>
      <c r="W287" s="63"/>
      <c r="X287" s="63"/>
      <c r="Y287" s="63"/>
      <c r="Z287" s="63"/>
      <c r="AA287" s="63"/>
      <c r="AB287" s="63"/>
      <c r="AC287" s="63"/>
    </row>
    <row r="288" spans="1:29" ht="15.75">
      <c r="A288" s="59"/>
      <c r="B288" s="61"/>
      <c r="C288" s="62"/>
      <c r="D288" s="62"/>
      <c r="E288" s="62"/>
      <c r="F288" s="62"/>
      <c r="G288" s="63"/>
      <c r="H288" s="63"/>
      <c r="I288" s="63"/>
      <c r="J288" s="63"/>
      <c r="K288" s="63"/>
      <c r="L288" s="63"/>
      <c r="M288" s="63"/>
      <c r="N288" s="63"/>
      <c r="O288" s="63"/>
      <c r="P288" s="63"/>
      <c r="Q288" s="63"/>
      <c r="R288" s="63"/>
      <c r="S288" s="63"/>
      <c r="T288" s="63"/>
      <c r="U288" s="63"/>
      <c r="V288" s="63"/>
      <c r="W288" s="63"/>
      <c r="X288" s="63"/>
      <c r="Y288" s="63"/>
      <c r="Z288" s="63"/>
      <c r="AA288" s="63"/>
      <c r="AB288" s="63"/>
      <c r="AC288" s="63"/>
    </row>
    <row r="289" spans="1:29" ht="15.75">
      <c r="A289" s="59"/>
      <c r="B289" s="61"/>
      <c r="C289" s="62"/>
      <c r="D289" s="62"/>
      <c r="E289" s="62"/>
      <c r="F289" s="62"/>
      <c r="G289" s="63"/>
      <c r="H289" s="63"/>
      <c r="I289" s="63"/>
      <c r="J289" s="63"/>
      <c r="K289" s="63"/>
      <c r="L289" s="63"/>
      <c r="M289" s="63"/>
      <c r="N289" s="63"/>
      <c r="O289" s="63"/>
      <c r="P289" s="63"/>
      <c r="Q289" s="63"/>
      <c r="R289" s="63"/>
      <c r="S289" s="63"/>
      <c r="T289" s="63"/>
      <c r="U289" s="63"/>
      <c r="V289" s="63"/>
      <c r="W289" s="63"/>
      <c r="X289" s="63"/>
      <c r="Y289" s="63"/>
      <c r="Z289" s="63"/>
      <c r="AA289" s="63"/>
      <c r="AB289" s="63"/>
      <c r="AC289" s="63"/>
    </row>
    <row r="290" spans="1:29" ht="15.75">
      <c r="A290" s="59"/>
      <c r="B290" s="61"/>
      <c r="C290" s="62"/>
      <c r="D290" s="62"/>
      <c r="E290" s="62"/>
      <c r="F290" s="62"/>
      <c r="G290" s="63"/>
      <c r="H290" s="63"/>
      <c r="I290" s="63"/>
      <c r="J290" s="63"/>
      <c r="K290" s="63"/>
      <c r="L290" s="63"/>
      <c r="M290" s="63"/>
      <c r="N290" s="63"/>
      <c r="O290" s="63"/>
      <c r="P290" s="63"/>
      <c r="Q290" s="63"/>
      <c r="R290" s="63"/>
      <c r="S290" s="63"/>
      <c r="T290" s="63"/>
      <c r="U290" s="63"/>
      <c r="V290" s="63"/>
      <c r="W290" s="63"/>
      <c r="X290" s="63"/>
      <c r="Y290" s="63"/>
      <c r="Z290" s="63"/>
      <c r="AA290" s="63"/>
      <c r="AB290" s="63"/>
      <c r="AC290" s="63"/>
    </row>
    <row r="291" spans="1:29" ht="15.75">
      <c r="A291" s="59"/>
      <c r="B291" s="61"/>
      <c r="C291" s="62"/>
      <c r="D291" s="62"/>
      <c r="E291" s="62"/>
      <c r="F291" s="62"/>
      <c r="G291" s="63"/>
      <c r="H291" s="63"/>
      <c r="I291" s="63"/>
      <c r="J291" s="63"/>
      <c r="K291" s="63"/>
      <c r="L291" s="63"/>
      <c r="M291" s="63"/>
      <c r="N291" s="63"/>
      <c r="O291" s="63"/>
      <c r="P291" s="63"/>
      <c r="Q291" s="63"/>
      <c r="R291" s="63"/>
      <c r="S291" s="63"/>
      <c r="T291" s="63"/>
      <c r="U291" s="63"/>
      <c r="V291" s="63"/>
      <c r="W291" s="63"/>
      <c r="X291" s="63"/>
      <c r="Y291" s="63"/>
      <c r="Z291" s="63"/>
      <c r="AA291" s="63"/>
      <c r="AB291" s="63"/>
      <c r="AC291" s="63"/>
    </row>
    <row r="292" spans="1:29" ht="15.75">
      <c r="A292" s="59"/>
      <c r="B292" s="61"/>
      <c r="C292" s="62"/>
      <c r="D292" s="62"/>
      <c r="E292" s="62"/>
      <c r="F292" s="62"/>
      <c r="G292" s="63"/>
      <c r="H292" s="63"/>
      <c r="I292" s="63"/>
      <c r="J292" s="63"/>
      <c r="K292" s="63"/>
      <c r="L292" s="63"/>
      <c r="M292" s="63"/>
      <c r="N292" s="63"/>
      <c r="O292" s="63"/>
      <c r="P292" s="63"/>
      <c r="Q292" s="63"/>
      <c r="R292" s="63"/>
      <c r="S292" s="63"/>
      <c r="T292" s="63"/>
      <c r="U292" s="63"/>
      <c r="V292" s="63"/>
      <c r="W292" s="63"/>
      <c r="X292" s="63"/>
      <c r="Y292" s="63"/>
      <c r="Z292" s="63"/>
      <c r="AA292" s="63"/>
      <c r="AB292" s="63"/>
      <c r="AC292" s="63"/>
    </row>
    <row r="293" spans="1:29" ht="15.75">
      <c r="A293" s="59"/>
      <c r="B293" s="61"/>
      <c r="C293" s="62"/>
      <c r="D293" s="62"/>
      <c r="E293" s="62"/>
      <c r="F293" s="62"/>
      <c r="G293" s="63"/>
      <c r="H293" s="63"/>
      <c r="I293" s="63"/>
      <c r="J293" s="63"/>
      <c r="K293" s="63"/>
      <c r="L293" s="63"/>
      <c r="M293" s="63"/>
      <c r="N293" s="63"/>
      <c r="O293" s="63"/>
      <c r="P293" s="63"/>
      <c r="Q293" s="63"/>
      <c r="R293" s="63"/>
      <c r="S293" s="63"/>
      <c r="T293" s="63"/>
      <c r="U293" s="63"/>
      <c r="V293" s="63"/>
      <c r="W293" s="63"/>
      <c r="X293" s="63"/>
      <c r="Y293" s="63"/>
      <c r="Z293" s="63"/>
      <c r="AA293" s="63"/>
      <c r="AB293" s="63"/>
      <c r="AC293" s="63"/>
    </row>
    <row r="294" spans="1:29" ht="15.75">
      <c r="A294" s="59"/>
      <c r="B294" s="61"/>
      <c r="C294" s="62"/>
      <c r="D294" s="62"/>
      <c r="E294" s="62"/>
      <c r="F294" s="62"/>
      <c r="G294" s="63"/>
      <c r="H294" s="63"/>
      <c r="I294" s="63"/>
      <c r="J294" s="63"/>
      <c r="K294" s="63"/>
      <c r="L294" s="63"/>
      <c r="M294" s="63"/>
      <c r="N294" s="63"/>
      <c r="O294" s="63"/>
      <c r="P294" s="63"/>
      <c r="Q294" s="63"/>
      <c r="R294" s="63"/>
      <c r="S294" s="63"/>
      <c r="T294" s="63"/>
      <c r="U294" s="63"/>
      <c r="V294" s="63"/>
      <c r="W294" s="63"/>
      <c r="X294" s="63"/>
      <c r="Y294" s="63"/>
      <c r="Z294" s="63"/>
      <c r="AA294" s="63"/>
      <c r="AB294" s="63"/>
      <c r="AC294" s="63"/>
    </row>
    <row r="295" spans="1:29" ht="15.75">
      <c r="A295" s="59"/>
      <c r="B295" s="61"/>
      <c r="C295" s="62"/>
      <c r="D295" s="62"/>
      <c r="E295" s="62"/>
      <c r="F295" s="62"/>
      <c r="G295" s="63"/>
      <c r="H295" s="63"/>
      <c r="I295" s="63"/>
      <c r="J295" s="63"/>
      <c r="K295" s="63"/>
      <c r="L295" s="63"/>
      <c r="M295" s="63"/>
      <c r="N295" s="63"/>
      <c r="O295" s="63"/>
      <c r="P295" s="63"/>
      <c r="Q295" s="63"/>
      <c r="R295" s="63"/>
      <c r="S295" s="63"/>
      <c r="T295" s="63"/>
      <c r="U295" s="63"/>
      <c r="V295" s="63"/>
      <c r="W295" s="63"/>
      <c r="X295" s="63"/>
      <c r="Y295" s="63"/>
      <c r="Z295" s="63"/>
      <c r="AA295" s="63"/>
      <c r="AB295" s="63"/>
      <c r="AC295" s="63"/>
    </row>
    <row r="296" spans="1:29" ht="15.75">
      <c r="A296" s="59"/>
      <c r="B296" s="61"/>
      <c r="C296" s="62"/>
      <c r="D296" s="62"/>
      <c r="E296" s="62"/>
      <c r="F296" s="62"/>
      <c r="G296" s="63"/>
      <c r="H296" s="63"/>
      <c r="I296" s="63"/>
      <c r="J296" s="63"/>
      <c r="K296" s="63"/>
      <c r="L296" s="63"/>
      <c r="M296" s="63"/>
      <c r="N296" s="63"/>
      <c r="O296" s="63"/>
      <c r="P296" s="63"/>
      <c r="Q296" s="63"/>
      <c r="R296" s="63"/>
      <c r="S296" s="63"/>
      <c r="T296" s="63"/>
      <c r="U296" s="63"/>
      <c r="V296" s="63"/>
      <c r="W296" s="63"/>
      <c r="X296" s="63"/>
      <c r="Y296" s="63"/>
      <c r="Z296" s="63"/>
      <c r="AA296" s="63"/>
      <c r="AB296" s="63"/>
      <c r="AC296" s="63"/>
    </row>
    <row r="297" spans="1:29" ht="15.75">
      <c r="A297" s="59"/>
      <c r="B297" s="61"/>
      <c r="C297" s="62"/>
      <c r="D297" s="62"/>
      <c r="E297" s="62"/>
      <c r="F297" s="62"/>
      <c r="G297" s="63"/>
      <c r="H297" s="63"/>
      <c r="I297" s="63"/>
      <c r="J297" s="63"/>
      <c r="K297" s="63"/>
      <c r="L297" s="63"/>
      <c r="M297" s="63"/>
      <c r="N297" s="63"/>
      <c r="O297" s="63"/>
      <c r="P297" s="63"/>
      <c r="Q297" s="63"/>
      <c r="R297" s="63"/>
      <c r="S297" s="63"/>
      <c r="T297" s="63"/>
      <c r="U297" s="63"/>
      <c r="V297" s="63"/>
      <c r="W297" s="63"/>
      <c r="X297" s="63"/>
      <c r="Y297" s="63"/>
      <c r="Z297" s="63"/>
      <c r="AA297" s="63"/>
      <c r="AB297" s="63"/>
      <c r="AC297" s="63"/>
    </row>
    <row r="298" spans="1:29" ht="15.75">
      <c r="A298" s="59"/>
      <c r="B298" s="61"/>
      <c r="C298" s="62"/>
      <c r="D298" s="62"/>
      <c r="E298" s="62"/>
      <c r="F298" s="62"/>
      <c r="G298" s="63"/>
      <c r="H298" s="63"/>
      <c r="I298" s="63"/>
      <c r="J298" s="63"/>
      <c r="K298" s="63"/>
      <c r="L298" s="63"/>
      <c r="M298" s="63"/>
      <c r="N298" s="63"/>
      <c r="O298" s="63"/>
      <c r="P298" s="63"/>
      <c r="Q298" s="63"/>
      <c r="R298" s="63"/>
      <c r="S298" s="63"/>
      <c r="T298" s="63"/>
      <c r="U298" s="63"/>
      <c r="V298" s="63"/>
      <c r="W298" s="63"/>
      <c r="X298" s="63"/>
      <c r="Y298" s="63"/>
      <c r="Z298" s="63"/>
      <c r="AA298" s="63"/>
      <c r="AB298" s="63"/>
      <c r="AC298" s="63"/>
    </row>
    <row r="299" spans="1:29" ht="15.75">
      <c r="A299" s="59"/>
      <c r="B299" s="61"/>
      <c r="C299" s="62"/>
      <c r="D299" s="62"/>
      <c r="E299" s="62"/>
      <c r="F299" s="62"/>
      <c r="G299" s="63"/>
      <c r="H299" s="63"/>
      <c r="I299" s="63"/>
      <c r="J299" s="63"/>
      <c r="K299" s="63"/>
      <c r="L299" s="63"/>
      <c r="M299" s="63"/>
      <c r="N299" s="63"/>
      <c r="O299" s="63"/>
      <c r="P299" s="63"/>
      <c r="Q299" s="63"/>
      <c r="R299" s="63"/>
      <c r="S299" s="63"/>
      <c r="T299" s="63"/>
      <c r="U299" s="63"/>
      <c r="V299" s="63"/>
      <c r="W299" s="63"/>
      <c r="X299" s="63"/>
      <c r="Y299" s="63"/>
      <c r="Z299" s="63"/>
      <c r="AA299" s="63"/>
      <c r="AB299" s="63"/>
      <c r="AC299" s="63"/>
    </row>
    <row r="300" spans="1:29" ht="15.75">
      <c r="A300" s="59"/>
      <c r="B300" s="61"/>
      <c r="C300" s="62"/>
      <c r="D300" s="62"/>
      <c r="E300" s="62"/>
      <c r="F300" s="62"/>
      <c r="G300" s="63"/>
      <c r="H300" s="63"/>
      <c r="I300" s="63"/>
      <c r="J300" s="63"/>
      <c r="K300" s="63"/>
      <c r="L300" s="63"/>
      <c r="M300" s="63"/>
      <c r="N300" s="63"/>
      <c r="O300" s="63"/>
      <c r="P300" s="63"/>
      <c r="Q300" s="63"/>
      <c r="R300" s="63"/>
      <c r="S300" s="63"/>
      <c r="T300" s="63"/>
      <c r="U300" s="63"/>
      <c r="V300" s="63"/>
      <c r="W300" s="63"/>
      <c r="X300" s="63"/>
      <c r="Y300" s="63"/>
      <c r="Z300" s="63"/>
      <c r="AA300" s="63"/>
      <c r="AB300" s="63"/>
      <c r="AC300" s="63"/>
    </row>
    <row r="301" spans="1:29" ht="15.75">
      <c r="A301" s="59"/>
      <c r="B301" s="61"/>
      <c r="C301" s="62"/>
      <c r="D301" s="62"/>
      <c r="E301" s="62"/>
      <c r="F301" s="62"/>
      <c r="G301" s="63"/>
      <c r="H301" s="63"/>
      <c r="I301" s="63"/>
      <c r="J301" s="63"/>
      <c r="K301" s="63"/>
      <c r="L301" s="63"/>
      <c r="M301" s="63"/>
      <c r="N301" s="63"/>
      <c r="O301" s="63"/>
      <c r="P301" s="63"/>
      <c r="Q301" s="63"/>
      <c r="R301" s="63"/>
      <c r="S301" s="63"/>
      <c r="T301" s="63"/>
      <c r="U301" s="63"/>
      <c r="V301" s="63"/>
      <c r="W301" s="63"/>
      <c r="X301" s="63"/>
      <c r="Y301" s="63"/>
      <c r="Z301" s="63"/>
      <c r="AA301" s="63"/>
      <c r="AB301" s="63"/>
      <c r="AC301" s="63"/>
    </row>
    <row r="302" spans="1:29" ht="15.75">
      <c r="A302" s="59"/>
      <c r="B302" s="61"/>
      <c r="C302" s="62"/>
      <c r="D302" s="62"/>
      <c r="E302" s="62"/>
      <c r="F302" s="62"/>
      <c r="G302" s="63"/>
      <c r="H302" s="63"/>
      <c r="I302" s="63"/>
      <c r="J302" s="63"/>
      <c r="K302" s="63"/>
      <c r="L302" s="63"/>
      <c r="M302" s="63"/>
      <c r="N302" s="63"/>
      <c r="O302" s="63"/>
      <c r="P302" s="63"/>
      <c r="Q302" s="63"/>
      <c r="R302" s="63"/>
      <c r="S302" s="63"/>
      <c r="T302" s="63"/>
      <c r="U302" s="63"/>
      <c r="V302" s="63"/>
      <c r="W302" s="63"/>
      <c r="X302" s="63"/>
      <c r="Y302" s="63"/>
      <c r="Z302" s="63"/>
      <c r="AA302" s="63"/>
      <c r="AB302" s="63"/>
      <c r="AC302" s="63"/>
    </row>
    <row r="303" spans="1:29" ht="15.75">
      <c r="A303" s="59"/>
      <c r="B303" s="61"/>
      <c r="C303" s="62"/>
      <c r="D303" s="62"/>
      <c r="E303" s="62"/>
      <c r="F303" s="62"/>
      <c r="G303" s="63"/>
      <c r="H303" s="63"/>
      <c r="I303" s="63"/>
      <c r="J303" s="63"/>
      <c r="K303" s="63"/>
      <c r="L303" s="63"/>
      <c r="M303" s="63"/>
      <c r="N303" s="63"/>
      <c r="O303" s="63"/>
      <c r="P303" s="63"/>
      <c r="Q303" s="63"/>
      <c r="R303" s="63"/>
      <c r="S303" s="63"/>
      <c r="T303" s="63"/>
      <c r="U303" s="63"/>
      <c r="V303" s="63"/>
      <c r="W303" s="63"/>
      <c r="X303" s="63"/>
      <c r="Y303" s="63"/>
      <c r="Z303" s="63"/>
      <c r="AA303" s="63"/>
      <c r="AB303" s="63"/>
      <c r="AC303" s="63"/>
    </row>
    <row r="304" spans="1:29" ht="15.75">
      <c r="A304" s="59"/>
      <c r="B304" s="61"/>
      <c r="C304" s="62"/>
      <c r="D304" s="62"/>
      <c r="E304" s="62"/>
      <c r="F304" s="62"/>
      <c r="G304" s="63"/>
      <c r="H304" s="63"/>
      <c r="I304" s="63"/>
      <c r="J304" s="63"/>
      <c r="K304" s="63"/>
      <c r="L304" s="63"/>
      <c r="M304" s="63"/>
      <c r="N304" s="63"/>
      <c r="O304" s="63"/>
      <c r="P304" s="63"/>
      <c r="Q304" s="63"/>
      <c r="R304" s="63"/>
      <c r="S304" s="63"/>
      <c r="T304" s="63"/>
      <c r="U304" s="63"/>
      <c r="V304" s="63"/>
      <c r="W304" s="63"/>
      <c r="X304" s="63"/>
      <c r="Y304" s="63"/>
      <c r="Z304" s="63"/>
      <c r="AA304" s="63"/>
      <c r="AB304" s="63"/>
      <c r="AC304" s="63"/>
    </row>
    <row r="305" spans="1:29" ht="15.75">
      <c r="A305" s="59"/>
      <c r="B305" s="61"/>
      <c r="C305" s="62"/>
      <c r="D305" s="62"/>
      <c r="E305" s="62"/>
      <c r="F305" s="62"/>
      <c r="G305" s="63"/>
      <c r="H305" s="63"/>
      <c r="I305" s="63"/>
      <c r="J305" s="63"/>
      <c r="K305" s="63"/>
      <c r="L305" s="63"/>
      <c r="M305" s="63"/>
      <c r="N305" s="63"/>
      <c r="O305" s="63"/>
      <c r="P305" s="63"/>
      <c r="Q305" s="63"/>
      <c r="R305" s="63"/>
      <c r="S305" s="63"/>
      <c r="T305" s="63"/>
      <c r="U305" s="63"/>
      <c r="V305" s="63"/>
      <c r="W305" s="63"/>
      <c r="X305" s="63"/>
      <c r="Y305" s="63"/>
      <c r="Z305" s="63"/>
      <c r="AA305" s="63"/>
      <c r="AB305" s="63"/>
      <c r="AC305" s="63"/>
    </row>
    <row r="306" spans="1:29" ht="15.75">
      <c r="A306" s="59"/>
      <c r="B306" s="61"/>
      <c r="C306" s="62"/>
      <c r="D306" s="62"/>
      <c r="E306" s="62"/>
      <c r="F306" s="62"/>
      <c r="G306" s="63"/>
      <c r="H306" s="63"/>
      <c r="I306" s="63"/>
      <c r="J306" s="63"/>
      <c r="K306" s="63"/>
      <c r="L306" s="63"/>
      <c r="M306" s="63"/>
      <c r="N306" s="63"/>
      <c r="O306" s="63"/>
      <c r="P306" s="63"/>
      <c r="Q306" s="63"/>
      <c r="R306" s="63"/>
      <c r="S306" s="63"/>
      <c r="T306" s="63"/>
      <c r="U306" s="63"/>
      <c r="V306" s="63"/>
      <c r="W306" s="63"/>
      <c r="X306" s="63"/>
      <c r="Y306" s="63"/>
      <c r="Z306" s="63"/>
      <c r="AA306" s="63"/>
      <c r="AB306" s="63"/>
      <c r="AC306" s="63"/>
    </row>
    <row r="307" spans="1:29" ht="15.75">
      <c r="A307" s="59"/>
      <c r="B307" s="61"/>
      <c r="C307" s="62"/>
      <c r="D307" s="62"/>
      <c r="E307" s="62"/>
      <c r="F307" s="62"/>
      <c r="G307" s="63"/>
      <c r="H307" s="63"/>
      <c r="I307" s="63"/>
      <c r="J307" s="63"/>
      <c r="K307" s="63"/>
      <c r="L307" s="63"/>
      <c r="M307" s="63"/>
      <c r="N307" s="63"/>
      <c r="O307" s="63"/>
      <c r="P307" s="63"/>
      <c r="Q307" s="63"/>
      <c r="R307" s="63"/>
      <c r="S307" s="63"/>
      <c r="T307" s="63"/>
      <c r="U307" s="63"/>
      <c r="V307" s="63"/>
      <c r="W307" s="63"/>
      <c r="X307" s="63"/>
      <c r="Y307" s="63"/>
      <c r="Z307" s="63"/>
      <c r="AA307" s="63"/>
      <c r="AB307" s="63"/>
      <c r="AC307" s="63"/>
    </row>
    <row r="308" spans="1:29" ht="15.75">
      <c r="A308" s="59"/>
      <c r="B308" s="61"/>
      <c r="C308" s="62"/>
      <c r="D308" s="62"/>
      <c r="E308" s="62"/>
      <c r="F308" s="62"/>
      <c r="G308" s="63"/>
      <c r="H308" s="63"/>
      <c r="I308" s="63"/>
      <c r="J308" s="63"/>
      <c r="K308" s="63"/>
      <c r="L308" s="63"/>
      <c r="M308" s="63"/>
      <c r="N308" s="63"/>
      <c r="O308" s="63"/>
      <c r="P308" s="63"/>
      <c r="Q308" s="63"/>
      <c r="R308" s="63"/>
      <c r="S308" s="63"/>
      <c r="T308" s="63"/>
      <c r="U308" s="63"/>
      <c r="V308" s="63"/>
      <c r="W308" s="63"/>
      <c r="X308" s="63"/>
      <c r="Y308" s="63"/>
      <c r="Z308" s="63"/>
      <c r="AA308" s="63"/>
      <c r="AB308" s="63"/>
      <c r="AC308" s="63"/>
    </row>
    <row r="309" spans="1:29" ht="15.75">
      <c r="A309" s="59"/>
      <c r="B309" s="61"/>
      <c r="C309" s="62"/>
      <c r="D309" s="62"/>
      <c r="E309" s="62"/>
      <c r="F309" s="62"/>
      <c r="G309" s="63"/>
      <c r="H309" s="63"/>
      <c r="I309" s="63"/>
      <c r="J309" s="63"/>
      <c r="K309" s="63"/>
      <c r="L309" s="63"/>
      <c r="M309" s="63"/>
      <c r="N309" s="63"/>
      <c r="O309" s="63"/>
      <c r="P309" s="63"/>
      <c r="Q309" s="63"/>
      <c r="R309" s="63"/>
      <c r="S309" s="63"/>
      <c r="T309" s="63"/>
      <c r="U309" s="63"/>
      <c r="V309" s="63"/>
      <c r="W309" s="63"/>
      <c r="X309" s="63"/>
      <c r="Y309" s="63"/>
      <c r="Z309" s="63"/>
      <c r="AA309" s="63"/>
      <c r="AB309" s="63"/>
      <c r="AC309" s="63"/>
    </row>
    <row r="310" spans="1:29" ht="15.75">
      <c r="A310" s="59"/>
      <c r="B310" s="61"/>
      <c r="C310" s="62"/>
      <c r="D310" s="62"/>
      <c r="E310" s="62"/>
      <c r="F310" s="62"/>
      <c r="G310" s="63"/>
      <c r="H310" s="63"/>
      <c r="I310" s="63"/>
      <c r="J310" s="63"/>
      <c r="K310" s="63"/>
      <c r="L310" s="63"/>
      <c r="M310" s="63"/>
      <c r="N310" s="63"/>
      <c r="O310" s="63"/>
      <c r="P310" s="63"/>
      <c r="Q310" s="63"/>
      <c r="R310" s="63"/>
      <c r="S310" s="63"/>
      <c r="T310" s="63"/>
      <c r="U310" s="63"/>
      <c r="V310" s="63"/>
      <c r="W310" s="63"/>
      <c r="X310" s="63"/>
      <c r="Y310" s="63"/>
      <c r="Z310" s="63"/>
      <c r="AA310" s="63"/>
      <c r="AB310" s="63"/>
      <c r="AC310" s="63"/>
    </row>
    <row r="311" spans="1:29" ht="15.75">
      <c r="A311" s="59"/>
      <c r="B311" s="61"/>
      <c r="C311" s="62"/>
      <c r="D311" s="62"/>
      <c r="E311" s="62"/>
      <c r="F311" s="62"/>
      <c r="G311" s="63"/>
      <c r="H311" s="63"/>
      <c r="I311" s="63"/>
      <c r="J311" s="63"/>
      <c r="K311" s="63"/>
      <c r="L311" s="63"/>
      <c r="M311" s="63"/>
      <c r="N311" s="63"/>
      <c r="O311" s="63"/>
      <c r="P311" s="63"/>
      <c r="Q311" s="63"/>
      <c r="R311" s="63"/>
      <c r="S311" s="63"/>
      <c r="T311" s="63"/>
      <c r="U311" s="63"/>
      <c r="V311" s="63"/>
      <c r="W311" s="63"/>
      <c r="X311" s="63"/>
      <c r="Y311" s="63"/>
      <c r="Z311" s="63"/>
      <c r="AA311" s="63"/>
      <c r="AB311" s="63"/>
      <c r="AC311" s="63"/>
    </row>
    <row r="312" spans="1:29" ht="15.75">
      <c r="A312" s="59"/>
      <c r="B312" s="61"/>
      <c r="C312" s="62"/>
      <c r="D312" s="62"/>
      <c r="E312" s="62"/>
      <c r="F312" s="62"/>
      <c r="G312" s="63"/>
      <c r="H312" s="63"/>
      <c r="I312" s="63"/>
      <c r="J312" s="63"/>
      <c r="K312" s="63"/>
      <c r="L312" s="63"/>
      <c r="M312" s="63"/>
      <c r="N312" s="63"/>
      <c r="O312" s="63"/>
      <c r="P312" s="63"/>
      <c r="Q312" s="63"/>
      <c r="R312" s="63"/>
      <c r="S312" s="63"/>
      <c r="T312" s="63"/>
      <c r="U312" s="63"/>
      <c r="V312" s="63"/>
      <c r="W312" s="63"/>
      <c r="X312" s="63"/>
      <c r="Y312" s="63"/>
      <c r="Z312" s="63"/>
      <c r="AA312" s="63"/>
      <c r="AB312" s="63"/>
      <c r="AC312" s="63"/>
    </row>
    <row r="313" spans="1:29" ht="15.75">
      <c r="A313" s="59"/>
      <c r="B313" s="61"/>
      <c r="C313" s="62"/>
      <c r="D313" s="62"/>
      <c r="E313" s="62"/>
      <c r="F313" s="62"/>
      <c r="G313" s="63"/>
      <c r="H313" s="63"/>
      <c r="I313" s="63"/>
      <c r="J313" s="63"/>
      <c r="K313" s="63"/>
      <c r="L313" s="63"/>
      <c r="M313" s="63"/>
      <c r="N313" s="63"/>
      <c r="O313" s="63"/>
      <c r="P313" s="63"/>
      <c r="Q313" s="63"/>
      <c r="R313" s="63"/>
      <c r="S313" s="63"/>
      <c r="T313" s="63"/>
      <c r="U313" s="63"/>
      <c r="V313" s="63"/>
      <c r="W313" s="63"/>
      <c r="X313" s="63"/>
      <c r="Y313" s="63"/>
      <c r="Z313" s="63"/>
      <c r="AA313" s="63"/>
      <c r="AB313" s="63"/>
      <c r="AC313" s="63"/>
    </row>
    <row r="314" spans="1:29" ht="15.75">
      <c r="A314" s="59"/>
      <c r="B314" s="61"/>
      <c r="C314" s="62"/>
      <c r="D314" s="62"/>
      <c r="E314" s="62"/>
      <c r="F314" s="62"/>
      <c r="G314" s="63"/>
      <c r="H314" s="63"/>
      <c r="I314" s="63"/>
      <c r="J314" s="63"/>
      <c r="K314" s="63"/>
      <c r="L314" s="63"/>
      <c r="M314" s="63"/>
      <c r="N314" s="63"/>
      <c r="O314" s="63"/>
      <c r="P314" s="63"/>
      <c r="Q314" s="63"/>
      <c r="R314" s="63"/>
      <c r="S314" s="63"/>
      <c r="T314" s="63"/>
      <c r="U314" s="63"/>
      <c r="V314" s="63"/>
      <c r="W314" s="63"/>
      <c r="X314" s="63"/>
      <c r="Y314" s="63"/>
      <c r="Z314" s="63"/>
      <c r="AA314" s="63"/>
      <c r="AB314" s="63"/>
      <c r="AC314" s="63"/>
    </row>
    <row r="315" spans="1:29" ht="15.75">
      <c r="A315" s="59"/>
      <c r="B315" s="61"/>
      <c r="C315" s="62"/>
      <c r="D315" s="62"/>
      <c r="E315" s="62"/>
      <c r="F315" s="62"/>
      <c r="G315" s="63"/>
      <c r="H315" s="63"/>
      <c r="I315" s="63"/>
      <c r="J315" s="63"/>
      <c r="K315" s="63"/>
      <c r="L315" s="63"/>
      <c r="M315" s="63"/>
      <c r="N315" s="63"/>
      <c r="O315" s="63"/>
      <c r="P315" s="63"/>
      <c r="Q315" s="63"/>
      <c r="R315" s="63"/>
      <c r="S315" s="63"/>
      <c r="T315" s="63"/>
      <c r="U315" s="63"/>
      <c r="V315" s="63"/>
      <c r="W315" s="63"/>
      <c r="X315" s="63"/>
      <c r="Y315" s="63"/>
      <c r="Z315" s="63"/>
      <c r="AA315" s="63"/>
      <c r="AB315" s="63"/>
      <c r="AC315" s="63"/>
    </row>
    <row r="316" spans="1:29" ht="15.75">
      <c r="A316" s="59"/>
      <c r="B316" s="61"/>
      <c r="C316" s="62"/>
      <c r="D316" s="62"/>
      <c r="E316" s="62"/>
      <c r="F316" s="62"/>
      <c r="G316" s="63"/>
      <c r="H316" s="63"/>
      <c r="I316" s="63"/>
      <c r="J316" s="63"/>
      <c r="K316" s="63"/>
      <c r="L316" s="63"/>
      <c r="M316" s="63"/>
      <c r="N316" s="63"/>
      <c r="O316" s="63"/>
      <c r="P316" s="63"/>
      <c r="Q316" s="63"/>
      <c r="R316" s="63"/>
      <c r="S316" s="63"/>
      <c r="T316" s="63"/>
      <c r="U316" s="63"/>
      <c r="V316" s="63"/>
      <c r="W316" s="63"/>
      <c r="X316" s="63"/>
      <c r="Y316" s="63"/>
      <c r="Z316" s="63"/>
      <c r="AA316" s="63"/>
      <c r="AB316" s="63"/>
      <c r="AC316" s="63"/>
    </row>
    <row r="317" spans="1:29" ht="15.75">
      <c r="A317" s="59"/>
      <c r="B317" s="61"/>
      <c r="C317" s="62"/>
      <c r="D317" s="62"/>
      <c r="E317" s="62"/>
      <c r="F317" s="62"/>
      <c r="G317" s="63"/>
      <c r="H317" s="63"/>
      <c r="I317" s="63"/>
      <c r="J317" s="63"/>
      <c r="K317" s="63"/>
      <c r="L317" s="63"/>
      <c r="M317" s="63"/>
      <c r="N317" s="63"/>
      <c r="O317" s="63"/>
      <c r="P317" s="63"/>
      <c r="Q317" s="63"/>
      <c r="R317" s="63"/>
      <c r="S317" s="63"/>
      <c r="T317" s="63"/>
      <c r="U317" s="63"/>
      <c r="V317" s="63"/>
      <c r="W317" s="63"/>
      <c r="X317" s="63"/>
      <c r="Y317" s="63"/>
      <c r="Z317" s="63"/>
      <c r="AA317" s="63"/>
      <c r="AB317" s="63"/>
      <c r="AC317" s="63"/>
    </row>
    <row r="318" spans="1:29" ht="15.75">
      <c r="A318" s="59"/>
      <c r="B318" s="61"/>
      <c r="C318" s="62"/>
      <c r="D318" s="62"/>
      <c r="E318" s="62"/>
      <c r="F318" s="62"/>
      <c r="G318" s="63"/>
      <c r="H318" s="63"/>
      <c r="I318" s="63"/>
      <c r="J318" s="63"/>
      <c r="K318" s="63"/>
      <c r="L318" s="63"/>
      <c r="M318" s="63"/>
      <c r="N318" s="63"/>
      <c r="O318" s="63"/>
      <c r="P318" s="63"/>
      <c r="Q318" s="63"/>
      <c r="R318" s="63"/>
      <c r="S318" s="63"/>
      <c r="T318" s="63"/>
      <c r="U318" s="63"/>
      <c r="V318" s="63"/>
      <c r="W318" s="63"/>
      <c r="X318" s="63"/>
      <c r="Y318" s="63"/>
      <c r="Z318" s="63"/>
      <c r="AA318" s="63"/>
      <c r="AB318" s="63"/>
      <c r="AC318" s="63"/>
    </row>
    <row r="319" spans="1:29" ht="15.75">
      <c r="A319" s="59"/>
      <c r="B319" s="61"/>
      <c r="C319" s="62"/>
      <c r="D319" s="62"/>
      <c r="E319" s="62"/>
      <c r="F319" s="62"/>
      <c r="G319" s="63"/>
      <c r="H319" s="63"/>
      <c r="I319" s="63"/>
      <c r="J319" s="63"/>
      <c r="K319" s="63"/>
      <c r="L319" s="63"/>
      <c r="M319" s="63"/>
      <c r="N319" s="63"/>
      <c r="O319" s="63"/>
      <c r="P319" s="63"/>
      <c r="Q319" s="63"/>
      <c r="R319" s="63"/>
      <c r="S319" s="63"/>
      <c r="T319" s="63"/>
      <c r="U319" s="63"/>
      <c r="V319" s="63"/>
      <c r="W319" s="63"/>
      <c r="X319" s="63"/>
      <c r="Y319" s="63"/>
      <c r="Z319" s="63"/>
      <c r="AA319" s="63"/>
      <c r="AB319" s="63"/>
      <c r="AC319" s="63"/>
    </row>
    <row r="320" spans="1:29" ht="15.75">
      <c r="A320" s="59"/>
      <c r="B320" s="61"/>
      <c r="C320" s="62"/>
      <c r="D320" s="62"/>
      <c r="E320" s="62"/>
      <c r="F320" s="62"/>
      <c r="G320" s="63"/>
      <c r="H320" s="63"/>
      <c r="I320" s="63"/>
      <c r="J320" s="63"/>
      <c r="K320" s="63"/>
      <c r="L320" s="63"/>
      <c r="M320" s="63"/>
      <c r="N320" s="63"/>
      <c r="O320" s="63"/>
      <c r="P320" s="63"/>
      <c r="Q320" s="63"/>
      <c r="R320" s="63"/>
      <c r="S320" s="63"/>
      <c r="T320" s="63"/>
      <c r="U320" s="63"/>
      <c r="V320" s="63"/>
      <c r="W320" s="63"/>
      <c r="X320" s="63"/>
      <c r="Y320" s="63"/>
      <c r="Z320" s="63"/>
      <c r="AA320" s="63"/>
      <c r="AB320" s="63"/>
      <c r="AC320" s="63"/>
    </row>
    <row r="321" spans="1:29" ht="15.75">
      <c r="A321" s="59"/>
      <c r="B321" s="61"/>
      <c r="C321" s="62"/>
      <c r="D321" s="62"/>
      <c r="E321" s="62"/>
      <c r="F321" s="62"/>
      <c r="G321" s="63"/>
      <c r="H321" s="63"/>
      <c r="I321" s="63"/>
      <c r="J321" s="63"/>
      <c r="K321" s="63"/>
      <c r="L321" s="63"/>
      <c r="M321" s="63"/>
      <c r="N321" s="63"/>
      <c r="O321" s="63"/>
      <c r="P321" s="63"/>
      <c r="Q321" s="63"/>
      <c r="R321" s="63"/>
      <c r="S321" s="63"/>
      <c r="T321" s="63"/>
      <c r="U321" s="63"/>
      <c r="V321" s="63"/>
      <c r="W321" s="63"/>
      <c r="X321" s="63"/>
      <c r="Y321" s="63"/>
      <c r="Z321" s="63"/>
      <c r="AA321" s="63"/>
      <c r="AB321" s="63"/>
      <c r="AC321" s="63"/>
    </row>
    <row r="322" spans="1:29" ht="15.75">
      <c r="A322" s="59"/>
      <c r="B322" s="61"/>
      <c r="C322" s="62"/>
      <c r="D322" s="62"/>
      <c r="E322" s="62"/>
      <c r="F322" s="62"/>
      <c r="G322" s="63"/>
      <c r="H322" s="63"/>
      <c r="I322" s="63"/>
      <c r="J322" s="63"/>
      <c r="K322" s="63"/>
      <c r="L322" s="63"/>
      <c r="M322" s="63"/>
      <c r="N322" s="63"/>
      <c r="O322" s="63"/>
      <c r="P322" s="63"/>
      <c r="Q322" s="63"/>
      <c r="R322" s="63"/>
      <c r="S322" s="63"/>
      <c r="T322" s="63"/>
      <c r="U322" s="63"/>
      <c r="V322" s="63"/>
      <c r="W322" s="63"/>
      <c r="X322" s="63"/>
      <c r="Y322" s="63"/>
      <c r="Z322" s="63"/>
      <c r="AA322" s="63"/>
      <c r="AB322" s="63"/>
      <c r="AC322" s="63"/>
    </row>
    <row r="323" spans="1:29" ht="15.75">
      <c r="A323" s="59"/>
      <c r="B323" s="61"/>
      <c r="C323" s="62"/>
      <c r="D323" s="62"/>
      <c r="E323" s="62"/>
      <c r="F323" s="62"/>
      <c r="G323" s="63"/>
      <c r="H323" s="63"/>
      <c r="I323" s="63"/>
      <c r="J323" s="63"/>
      <c r="K323" s="63"/>
      <c r="L323" s="63"/>
      <c r="M323" s="63"/>
      <c r="N323" s="63"/>
      <c r="O323" s="63"/>
      <c r="P323" s="63"/>
      <c r="Q323" s="63"/>
      <c r="R323" s="63"/>
      <c r="S323" s="63"/>
      <c r="T323" s="63"/>
      <c r="U323" s="63"/>
      <c r="V323" s="63"/>
      <c r="W323" s="63"/>
      <c r="X323" s="63"/>
      <c r="Y323" s="63"/>
      <c r="Z323" s="63"/>
      <c r="AA323" s="63"/>
      <c r="AB323" s="63"/>
      <c r="AC323" s="63"/>
    </row>
    <row r="324" spans="1:29" ht="15.75">
      <c r="A324" s="59"/>
      <c r="B324" s="61"/>
      <c r="C324" s="62"/>
      <c r="D324" s="62"/>
      <c r="E324" s="62"/>
      <c r="F324" s="62"/>
      <c r="G324" s="63"/>
      <c r="H324" s="63"/>
      <c r="I324" s="63"/>
      <c r="J324" s="63"/>
      <c r="K324" s="63"/>
      <c r="L324" s="63"/>
      <c r="M324" s="63"/>
      <c r="N324" s="63"/>
      <c r="O324" s="63"/>
      <c r="P324" s="63"/>
      <c r="Q324" s="63"/>
      <c r="R324" s="63"/>
      <c r="S324" s="63"/>
      <c r="T324" s="63"/>
      <c r="U324" s="63"/>
      <c r="V324" s="63"/>
      <c r="W324" s="63"/>
      <c r="X324" s="63"/>
      <c r="Y324" s="63"/>
      <c r="Z324" s="63"/>
      <c r="AA324" s="63"/>
      <c r="AB324" s="63"/>
      <c r="AC324" s="63"/>
    </row>
    <row r="325" spans="1:29" ht="15.75">
      <c r="A325" s="59"/>
      <c r="B325" s="61"/>
      <c r="C325" s="62"/>
      <c r="D325" s="62"/>
      <c r="E325" s="62"/>
      <c r="F325" s="62"/>
      <c r="G325" s="63"/>
      <c r="H325" s="63"/>
      <c r="I325" s="63"/>
      <c r="J325" s="63"/>
      <c r="K325" s="63"/>
      <c r="L325" s="63"/>
      <c r="M325" s="63"/>
      <c r="N325" s="63"/>
      <c r="O325" s="63"/>
      <c r="P325" s="63"/>
      <c r="Q325" s="63"/>
      <c r="R325" s="63"/>
      <c r="S325" s="63"/>
      <c r="T325" s="63"/>
      <c r="U325" s="63"/>
      <c r="V325" s="63"/>
      <c r="W325" s="63"/>
      <c r="X325" s="63"/>
      <c r="Y325" s="63"/>
      <c r="Z325" s="63"/>
      <c r="AA325" s="63"/>
      <c r="AB325" s="63"/>
      <c r="AC325" s="63"/>
    </row>
    <row r="326" spans="1:29" ht="15.75">
      <c r="A326" s="59"/>
      <c r="B326" s="61"/>
      <c r="C326" s="62"/>
      <c r="D326" s="62"/>
      <c r="E326" s="62"/>
      <c r="F326" s="62"/>
      <c r="G326" s="63"/>
      <c r="H326" s="63"/>
      <c r="I326" s="63"/>
      <c r="J326" s="63"/>
      <c r="K326" s="63"/>
      <c r="L326" s="63"/>
      <c r="M326" s="63"/>
      <c r="N326" s="63"/>
      <c r="O326" s="63"/>
      <c r="P326" s="63"/>
      <c r="Q326" s="63"/>
      <c r="R326" s="63"/>
      <c r="S326" s="63"/>
      <c r="T326" s="63"/>
      <c r="U326" s="63"/>
      <c r="V326" s="63"/>
      <c r="W326" s="63"/>
      <c r="X326" s="63"/>
      <c r="Y326" s="63"/>
      <c r="Z326" s="63"/>
      <c r="AA326" s="63"/>
      <c r="AB326" s="63"/>
      <c r="AC326" s="63"/>
    </row>
    <row r="327" spans="1:29" ht="15.75">
      <c r="A327" s="59"/>
      <c r="B327" s="61"/>
      <c r="C327" s="62"/>
      <c r="D327" s="62"/>
      <c r="E327" s="62"/>
      <c r="F327" s="62"/>
      <c r="G327" s="63"/>
      <c r="H327" s="63"/>
      <c r="I327" s="63"/>
      <c r="J327" s="63"/>
      <c r="K327" s="63"/>
      <c r="L327" s="63"/>
      <c r="M327" s="63"/>
      <c r="N327" s="63"/>
      <c r="O327" s="63"/>
      <c r="P327" s="63"/>
      <c r="Q327" s="63"/>
      <c r="R327" s="63"/>
      <c r="S327" s="63"/>
      <c r="T327" s="63"/>
      <c r="U327" s="63"/>
      <c r="V327" s="63"/>
      <c r="W327" s="63"/>
      <c r="X327" s="63"/>
      <c r="Y327" s="63"/>
      <c r="Z327" s="63"/>
      <c r="AA327" s="63"/>
      <c r="AB327" s="63"/>
      <c r="AC327" s="63"/>
    </row>
    <row r="328" spans="1:29" ht="15.75">
      <c r="A328" s="59"/>
      <c r="B328" s="61"/>
      <c r="C328" s="62"/>
      <c r="D328" s="62"/>
      <c r="E328" s="62"/>
      <c r="F328" s="62"/>
      <c r="G328" s="63"/>
      <c r="H328" s="63"/>
      <c r="I328" s="63"/>
      <c r="J328" s="63"/>
      <c r="K328" s="63"/>
      <c r="L328" s="63"/>
      <c r="M328" s="63"/>
      <c r="N328" s="63"/>
      <c r="O328" s="63"/>
      <c r="P328" s="63"/>
      <c r="Q328" s="63"/>
      <c r="R328" s="63"/>
      <c r="S328" s="63"/>
      <c r="T328" s="63"/>
      <c r="U328" s="63"/>
      <c r="V328" s="63"/>
      <c r="W328" s="63"/>
      <c r="X328" s="63"/>
      <c r="Y328" s="63"/>
      <c r="Z328" s="63"/>
      <c r="AA328" s="63"/>
      <c r="AB328" s="63"/>
      <c r="AC328" s="63"/>
    </row>
    <row r="329" spans="1:29" ht="15.75">
      <c r="A329" s="59"/>
      <c r="B329" s="61"/>
      <c r="C329" s="62"/>
      <c r="D329" s="62"/>
      <c r="E329" s="62"/>
      <c r="F329" s="62"/>
      <c r="G329" s="63"/>
      <c r="H329" s="63"/>
      <c r="I329" s="63"/>
      <c r="J329" s="63"/>
      <c r="K329" s="63"/>
      <c r="L329" s="63"/>
      <c r="M329" s="63"/>
      <c r="N329" s="63"/>
      <c r="O329" s="63"/>
      <c r="P329" s="63"/>
      <c r="Q329" s="63"/>
      <c r="R329" s="63"/>
      <c r="S329" s="63"/>
      <c r="T329" s="63"/>
      <c r="U329" s="63"/>
      <c r="V329" s="63"/>
      <c r="W329" s="63"/>
      <c r="X329" s="63"/>
      <c r="Y329" s="63"/>
      <c r="Z329" s="63"/>
      <c r="AA329" s="63"/>
      <c r="AB329" s="63"/>
      <c r="AC329" s="63"/>
    </row>
    <row r="330" spans="1:29" ht="15.75">
      <c r="A330" s="59"/>
      <c r="B330" s="61"/>
      <c r="C330" s="62"/>
      <c r="D330" s="62"/>
      <c r="E330" s="62"/>
      <c r="F330" s="62"/>
      <c r="G330" s="63"/>
      <c r="H330" s="63"/>
      <c r="I330" s="63"/>
      <c r="J330" s="63"/>
      <c r="K330" s="63"/>
      <c r="L330" s="63"/>
      <c r="M330" s="63"/>
      <c r="N330" s="63"/>
      <c r="O330" s="63"/>
      <c r="P330" s="63"/>
      <c r="Q330" s="63"/>
      <c r="R330" s="63"/>
      <c r="S330" s="63"/>
      <c r="T330" s="63"/>
      <c r="U330" s="63"/>
      <c r="V330" s="63"/>
      <c r="W330" s="63"/>
      <c r="X330" s="63"/>
      <c r="Y330" s="63"/>
      <c r="Z330" s="63"/>
      <c r="AA330" s="63"/>
      <c r="AB330" s="63"/>
      <c r="AC330" s="63"/>
    </row>
    <row r="331" spans="1:29" ht="15.75">
      <c r="A331" s="59"/>
      <c r="B331" s="61"/>
      <c r="C331" s="62"/>
      <c r="D331" s="62"/>
      <c r="E331" s="62"/>
      <c r="F331" s="62"/>
      <c r="G331" s="63"/>
      <c r="H331" s="63"/>
      <c r="I331" s="63"/>
      <c r="J331" s="63"/>
      <c r="K331" s="63"/>
      <c r="L331" s="63"/>
      <c r="M331" s="63"/>
      <c r="N331" s="63"/>
      <c r="O331" s="63"/>
      <c r="P331" s="63"/>
      <c r="Q331" s="63"/>
      <c r="R331" s="63"/>
      <c r="S331" s="63"/>
      <c r="T331" s="63"/>
      <c r="U331" s="63"/>
      <c r="V331" s="63"/>
      <c r="W331" s="63"/>
      <c r="X331" s="63"/>
      <c r="Y331" s="63"/>
      <c r="Z331" s="63"/>
      <c r="AA331" s="63"/>
      <c r="AB331" s="63"/>
      <c r="AC331" s="63"/>
    </row>
    <row r="332" spans="1:29" ht="15.75">
      <c r="A332" s="59"/>
      <c r="B332" s="61"/>
      <c r="C332" s="62"/>
      <c r="D332" s="62"/>
      <c r="E332" s="62"/>
      <c r="F332" s="62"/>
      <c r="G332" s="63"/>
      <c r="H332" s="63"/>
      <c r="I332" s="63"/>
      <c r="J332" s="63"/>
      <c r="K332" s="63"/>
      <c r="L332" s="63"/>
      <c r="M332" s="63"/>
      <c r="N332" s="63"/>
      <c r="O332" s="63"/>
      <c r="P332" s="63"/>
      <c r="Q332" s="63"/>
      <c r="R332" s="63"/>
      <c r="S332" s="63"/>
      <c r="T332" s="63"/>
      <c r="U332" s="63"/>
      <c r="V332" s="63"/>
      <c r="W332" s="63"/>
      <c r="X332" s="63"/>
      <c r="Y332" s="63"/>
      <c r="Z332" s="63"/>
      <c r="AA332" s="63"/>
      <c r="AB332" s="63"/>
      <c r="AC332" s="63"/>
    </row>
    <row r="333" spans="1:29" ht="15.75">
      <c r="A333" s="59"/>
      <c r="B333" s="61"/>
      <c r="C333" s="62"/>
      <c r="D333" s="62"/>
      <c r="E333" s="62"/>
      <c r="F333" s="62"/>
      <c r="G333" s="63"/>
      <c r="H333" s="63"/>
      <c r="I333" s="63"/>
      <c r="J333" s="63"/>
      <c r="K333" s="63"/>
      <c r="L333" s="63"/>
      <c r="M333" s="63"/>
      <c r="N333" s="63"/>
      <c r="O333" s="63"/>
      <c r="P333" s="63"/>
      <c r="Q333" s="63"/>
      <c r="R333" s="63"/>
      <c r="S333" s="63"/>
      <c r="T333" s="63"/>
      <c r="U333" s="63"/>
      <c r="V333" s="63"/>
      <c r="W333" s="63"/>
      <c r="X333" s="63"/>
      <c r="Y333" s="63"/>
      <c r="Z333" s="63"/>
      <c r="AA333" s="63"/>
      <c r="AB333" s="63"/>
      <c r="AC333" s="63"/>
    </row>
    <row r="334" spans="1:29" ht="15.75">
      <c r="A334" s="59"/>
      <c r="B334" s="61"/>
      <c r="C334" s="62"/>
      <c r="D334" s="62"/>
      <c r="E334" s="62"/>
      <c r="F334" s="62"/>
      <c r="G334" s="63"/>
      <c r="H334" s="63"/>
      <c r="I334" s="63"/>
      <c r="J334" s="63"/>
      <c r="K334" s="63"/>
      <c r="L334" s="63"/>
      <c r="M334" s="63"/>
      <c r="N334" s="63"/>
      <c r="O334" s="63"/>
      <c r="P334" s="63"/>
      <c r="Q334" s="63"/>
      <c r="R334" s="63"/>
      <c r="S334" s="63"/>
      <c r="T334" s="63"/>
      <c r="U334" s="63"/>
      <c r="V334" s="63"/>
      <c r="W334" s="63"/>
      <c r="X334" s="63"/>
      <c r="Y334" s="63"/>
      <c r="Z334" s="63"/>
      <c r="AA334" s="63"/>
      <c r="AB334" s="63"/>
      <c r="AC334" s="63"/>
    </row>
    <row r="335" spans="1:29" ht="15.75">
      <c r="A335" s="59"/>
      <c r="B335" s="61"/>
      <c r="C335" s="62"/>
      <c r="D335" s="62"/>
      <c r="E335" s="62"/>
      <c r="F335" s="62"/>
      <c r="G335" s="63"/>
      <c r="H335" s="63"/>
      <c r="I335" s="63"/>
      <c r="J335" s="63"/>
      <c r="K335" s="63"/>
      <c r="L335" s="63"/>
      <c r="M335" s="63"/>
      <c r="N335" s="63"/>
      <c r="O335" s="63"/>
      <c r="P335" s="63"/>
      <c r="Q335" s="63"/>
      <c r="R335" s="63"/>
      <c r="S335" s="63"/>
      <c r="T335" s="63"/>
      <c r="U335" s="63"/>
      <c r="V335" s="63"/>
      <c r="W335" s="63"/>
      <c r="X335" s="63"/>
      <c r="Y335" s="63"/>
      <c r="Z335" s="63"/>
      <c r="AA335" s="63"/>
      <c r="AB335" s="63"/>
      <c r="AC335" s="63"/>
    </row>
    <row r="336" spans="1:29" ht="15.75">
      <c r="A336" s="59"/>
      <c r="B336" s="61"/>
      <c r="C336" s="62"/>
      <c r="D336" s="62"/>
      <c r="E336" s="62"/>
      <c r="F336" s="62"/>
      <c r="G336" s="63"/>
      <c r="H336" s="63"/>
      <c r="I336" s="63"/>
      <c r="J336" s="63"/>
      <c r="K336" s="63"/>
      <c r="L336" s="63"/>
      <c r="M336" s="63"/>
      <c r="N336" s="63"/>
      <c r="O336" s="63"/>
      <c r="P336" s="63"/>
      <c r="Q336" s="63"/>
      <c r="R336" s="63"/>
      <c r="S336" s="63"/>
      <c r="T336" s="63"/>
      <c r="U336" s="63"/>
      <c r="V336" s="63"/>
      <c r="W336" s="63"/>
      <c r="X336" s="63"/>
      <c r="Y336" s="63"/>
      <c r="Z336" s="63"/>
      <c r="AA336" s="63"/>
      <c r="AB336" s="63"/>
      <c r="AC336" s="63"/>
    </row>
    <row r="337" spans="1:29" ht="15.75">
      <c r="A337" s="59"/>
      <c r="B337" s="61"/>
      <c r="C337" s="62"/>
      <c r="D337" s="62"/>
      <c r="E337" s="62"/>
      <c r="F337" s="62"/>
      <c r="G337" s="63"/>
      <c r="H337" s="63"/>
      <c r="I337" s="63"/>
      <c r="J337" s="63"/>
      <c r="K337" s="63"/>
      <c r="L337" s="63"/>
      <c r="M337" s="63"/>
      <c r="N337" s="63"/>
      <c r="O337" s="63"/>
      <c r="P337" s="63"/>
      <c r="Q337" s="63"/>
      <c r="R337" s="63"/>
      <c r="S337" s="63"/>
      <c r="T337" s="63"/>
      <c r="U337" s="63"/>
      <c r="V337" s="63"/>
      <c r="W337" s="63"/>
      <c r="X337" s="63"/>
      <c r="Y337" s="63"/>
      <c r="Z337" s="63"/>
      <c r="AA337" s="63"/>
      <c r="AB337" s="63"/>
      <c r="AC337" s="63"/>
    </row>
    <row r="338" spans="1:29" ht="15.75">
      <c r="A338" s="59"/>
      <c r="B338" s="61"/>
      <c r="C338" s="62"/>
      <c r="D338" s="62"/>
      <c r="E338" s="62"/>
      <c r="F338" s="62"/>
      <c r="G338" s="63"/>
      <c r="H338" s="63"/>
      <c r="I338" s="63"/>
      <c r="J338" s="63"/>
      <c r="K338" s="63"/>
      <c r="L338" s="63"/>
      <c r="M338" s="63"/>
      <c r="N338" s="63"/>
      <c r="O338" s="63"/>
      <c r="P338" s="63"/>
      <c r="Q338" s="63"/>
      <c r="R338" s="63"/>
      <c r="S338" s="63"/>
      <c r="T338" s="63"/>
      <c r="U338" s="63"/>
      <c r="V338" s="63"/>
      <c r="W338" s="63"/>
      <c r="X338" s="63"/>
      <c r="Y338" s="63"/>
      <c r="Z338" s="63"/>
      <c r="AA338" s="63"/>
      <c r="AB338" s="63"/>
      <c r="AC338" s="63"/>
    </row>
    <row r="339" spans="1:29" ht="15.75">
      <c r="A339" s="59"/>
      <c r="B339" s="61"/>
      <c r="C339" s="62"/>
      <c r="D339" s="62"/>
      <c r="E339" s="62"/>
      <c r="F339" s="62"/>
      <c r="G339" s="63"/>
      <c r="H339" s="63"/>
      <c r="I339" s="63"/>
      <c r="J339" s="63"/>
      <c r="K339" s="63"/>
      <c r="L339" s="63"/>
      <c r="M339" s="63"/>
      <c r="N339" s="63"/>
      <c r="O339" s="63"/>
      <c r="P339" s="63"/>
      <c r="Q339" s="63"/>
      <c r="R339" s="63"/>
      <c r="S339" s="63"/>
      <c r="T339" s="63"/>
      <c r="U339" s="63"/>
      <c r="V339" s="63"/>
      <c r="W339" s="63"/>
      <c r="X339" s="63"/>
      <c r="Y339" s="63"/>
      <c r="Z339" s="63"/>
      <c r="AA339" s="63"/>
      <c r="AB339" s="63"/>
      <c r="AC339" s="63"/>
    </row>
    <row r="340" spans="1:29" ht="15.75">
      <c r="A340" s="59"/>
      <c r="B340" s="61"/>
      <c r="C340" s="62"/>
      <c r="D340" s="62"/>
      <c r="E340" s="62"/>
      <c r="F340" s="62"/>
      <c r="G340" s="63"/>
      <c r="H340" s="63"/>
      <c r="I340" s="63"/>
      <c r="J340" s="63"/>
      <c r="K340" s="63"/>
      <c r="L340" s="63"/>
      <c r="M340" s="63"/>
      <c r="N340" s="63"/>
      <c r="O340" s="63"/>
      <c r="P340" s="63"/>
      <c r="Q340" s="63"/>
      <c r="R340" s="63"/>
      <c r="S340" s="63"/>
      <c r="T340" s="63"/>
      <c r="U340" s="63"/>
      <c r="V340" s="63"/>
      <c r="W340" s="63"/>
      <c r="X340" s="63"/>
      <c r="Y340" s="63"/>
      <c r="Z340" s="63"/>
      <c r="AA340" s="63"/>
      <c r="AB340" s="63"/>
      <c r="AC340" s="63"/>
    </row>
    <row r="341" spans="1:29" ht="15.75">
      <c r="A341" s="59"/>
      <c r="B341" s="61"/>
      <c r="C341" s="62"/>
      <c r="D341" s="62"/>
      <c r="E341" s="62"/>
      <c r="F341" s="62"/>
      <c r="G341" s="63"/>
      <c r="H341" s="63"/>
      <c r="I341" s="63"/>
      <c r="J341" s="63"/>
      <c r="K341" s="63"/>
      <c r="L341" s="63"/>
      <c r="M341" s="63"/>
      <c r="N341" s="63"/>
      <c r="O341" s="63"/>
      <c r="P341" s="63"/>
      <c r="Q341" s="63"/>
      <c r="R341" s="63"/>
      <c r="S341" s="63"/>
      <c r="T341" s="63"/>
      <c r="U341" s="63"/>
      <c r="V341" s="63"/>
      <c r="W341" s="63"/>
      <c r="X341" s="63"/>
      <c r="Y341" s="63"/>
      <c r="Z341" s="63"/>
      <c r="AA341" s="63"/>
      <c r="AB341" s="63"/>
      <c r="AC341" s="63"/>
    </row>
    <row r="342" spans="1:29" ht="15.75">
      <c r="A342" s="59"/>
      <c r="B342" s="61"/>
      <c r="C342" s="62"/>
      <c r="D342" s="62"/>
      <c r="E342" s="62"/>
      <c r="F342" s="62"/>
      <c r="G342" s="63"/>
      <c r="H342" s="63"/>
      <c r="I342" s="63"/>
      <c r="J342" s="63"/>
      <c r="K342" s="63"/>
      <c r="L342" s="63"/>
      <c r="M342" s="63"/>
      <c r="N342" s="63"/>
      <c r="O342" s="63"/>
      <c r="P342" s="63"/>
      <c r="Q342" s="63"/>
      <c r="R342" s="63"/>
      <c r="S342" s="63"/>
      <c r="T342" s="63"/>
      <c r="U342" s="63"/>
      <c r="V342" s="63"/>
      <c r="W342" s="63"/>
      <c r="X342" s="63"/>
      <c r="Y342" s="63"/>
      <c r="Z342" s="63"/>
      <c r="AA342" s="63"/>
      <c r="AB342" s="63"/>
      <c r="AC342" s="63"/>
    </row>
    <row r="343" spans="1:29" ht="15.75">
      <c r="A343" s="59"/>
      <c r="B343" s="61"/>
      <c r="C343" s="62"/>
      <c r="D343" s="62"/>
      <c r="E343" s="62"/>
      <c r="F343" s="62"/>
      <c r="G343" s="63"/>
      <c r="H343" s="63"/>
      <c r="I343" s="63"/>
      <c r="J343" s="63"/>
      <c r="K343" s="63"/>
      <c r="L343" s="63"/>
      <c r="M343" s="63"/>
      <c r="N343" s="63"/>
      <c r="O343" s="63"/>
      <c r="P343" s="63"/>
      <c r="Q343" s="63"/>
      <c r="R343" s="63"/>
      <c r="S343" s="63"/>
      <c r="T343" s="63"/>
      <c r="U343" s="63"/>
      <c r="V343" s="63"/>
      <c r="W343" s="63"/>
      <c r="X343" s="63"/>
      <c r="Y343" s="63"/>
      <c r="Z343" s="63"/>
      <c r="AA343" s="63"/>
      <c r="AB343" s="63"/>
      <c r="AC343" s="63"/>
    </row>
    <row r="344" spans="1:29" ht="15.75">
      <c r="A344" s="59"/>
      <c r="B344" s="61"/>
      <c r="C344" s="62"/>
      <c r="D344" s="62"/>
      <c r="E344" s="62"/>
      <c r="F344" s="62"/>
      <c r="G344" s="63"/>
      <c r="H344" s="63"/>
      <c r="I344" s="63"/>
      <c r="J344" s="63"/>
      <c r="K344" s="63"/>
      <c r="L344" s="63"/>
      <c r="M344" s="63"/>
      <c r="N344" s="63"/>
      <c r="O344" s="63"/>
      <c r="P344" s="63"/>
      <c r="Q344" s="63"/>
      <c r="R344" s="63"/>
      <c r="S344" s="63"/>
      <c r="T344" s="63"/>
      <c r="U344" s="63"/>
      <c r="V344" s="63"/>
      <c r="W344" s="63"/>
      <c r="X344" s="63"/>
      <c r="Y344" s="63"/>
      <c r="Z344" s="63"/>
      <c r="AA344" s="63"/>
      <c r="AB344" s="63"/>
      <c r="AC344" s="63"/>
    </row>
    <row r="345" spans="1:29" ht="15.75">
      <c r="A345" s="59"/>
      <c r="B345" s="61"/>
      <c r="C345" s="62"/>
      <c r="D345" s="62"/>
      <c r="E345" s="62"/>
      <c r="F345" s="62"/>
      <c r="G345" s="63"/>
      <c r="H345" s="63"/>
      <c r="I345" s="63"/>
      <c r="J345" s="63"/>
      <c r="K345" s="63"/>
      <c r="L345" s="63"/>
      <c r="M345" s="63"/>
      <c r="N345" s="63"/>
      <c r="O345" s="63"/>
      <c r="P345" s="63"/>
      <c r="Q345" s="63"/>
      <c r="R345" s="63"/>
      <c r="S345" s="63"/>
      <c r="T345" s="63"/>
      <c r="U345" s="63"/>
      <c r="V345" s="63"/>
      <c r="W345" s="63"/>
      <c r="X345" s="63"/>
      <c r="Y345" s="63"/>
      <c r="Z345" s="63"/>
      <c r="AA345" s="63"/>
      <c r="AB345" s="63"/>
      <c r="AC345" s="63"/>
    </row>
    <row r="346" spans="1:29" ht="15.75">
      <c r="A346" s="59"/>
      <c r="B346" s="61"/>
      <c r="C346" s="62"/>
      <c r="D346" s="62"/>
      <c r="E346" s="62"/>
      <c r="F346" s="62"/>
      <c r="G346" s="63"/>
      <c r="H346" s="63"/>
      <c r="I346" s="63"/>
      <c r="J346" s="63"/>
      <c r="K346" s="63"/>
      <c r="L346" s="63"/>
      <c r="M346" s="63"/>
      <c r="N346" s="63"/>
      <c r="O346" s="63"/>
      <c r="P346" s="63"/>
      <c r="Q346" s="63"/>
      <c r="R346" s="63"/>
      <c r="S346" s="63"/>
      <c r="T346" s="63"/>
      <c r="U346" s="63"/>
      <c r="V346" s="63"/>
      <c r="W346" s="63"/>
      <c r="X346" s="63"/>
      <c r="Y346" s="63"/>
      <c r="Z346" s="63"/>
      <c r="AA346" s="63"/>
      <c r="AB346" s="63"/>
      <c r="AC346" s="63"/>
    </row>
    <row r="347" spans="1:29" ht="15.75">
      <c r="A347" s="59"/>
      <c r="B347" s="61"/>
      <c r="C347" s="62"/>
      <c r="D347" s="62"/>
      <c r="E347" s="62"/>
      <c r="F347" s="62"/>
      <c r="G347" s="63"/>
      <c r="H347" s="63"/>
      <c r="I347" s="63"/>
      <c r="J347" s="63"/>
      <c r="K347" s="63"/>
      <c r="L347" s="63"/>
      <c r="M347" s="63"/>
      <c r="N347" s="63"/>
      <c r="O347" s="63"/>
      <c r="P347" s="63"/>
      <c r="Q347" s="63"/>
      <c r="R347" s="63"/>
      <c r="S347" s="63"/>
      <c r="T347" s="63"/>
      <c r="U347" s="63"/>
      <c r="V347" s="63"/>
      <c r="W347" s="63"/>
      <c r="X347" s="63"/>
      <c r="Y347" s="63"/>
      <c r="Z347" s="63"/>
      <c r="AA347" s="63"/>
      <c r="AB347" s="63"/>
      <c r="AC347" s="63"/>
    </row>
    <row r="348" spans="1:29" ht="15.75">
      <c r="A348" s="59"/>
      <c r="B348" s="61"/>
      <c r="C348" s="62"/>
      <c r="D348" s="62"/>
      <c r="E348" s="62"/>
      <c r="F348" s="62"/>
      <c r="G348" s="63"/>
      <c r="H348" s="63"/>
      <c r="I348" s="63"/>
      <c r="J348" s="63"/>
      <c r="K348" s="63"/>
      <c r="L348" s="63"/>
      <c r="M348" s="63"/>
      <c r="N348" s="63"/>
      <c r="O348" s="63"/>
      <c r="P348" s="63"/>
      <c r="Q348" s="63"/>
      <c r="R348" s="63"/>
      <c r="S348" s="63"/>
      <c r="T348" s="63"/>
      <c r="U348" s="63"/>
      <c r="V348" s="63"/>
      <c r="W348" s="63"/>
      <c r="X348" s="63"/>
      <c r="Y348" s="63"/>
      <c r="Z348" s="63"/>
      <c r="AA348" s="63"/>
      <c r="AB348" s="63"/>
      <c r="AC348" s="63"/>
    </row>
    <row r="349" spans="1:29" ht="15.75">
      <c r="A349" s="59"/>
      <c r="B349" s="61"/>
      <c r="C349" s="62"/>
      <c r="D349" s="62"/>
      <c r="E349" s="62"/>
      <c r="F349" s="62"/>
      <c r="G349" s="63"/>
      <c r="H349" s="63"/>
      <c r="I349" s="63"/>
      <c r="J349" s="63"/>
      <c r="K349" s="63"/>
      <c r="L349" s="63"/>
      <c r="M349" s="63"/>
      <c r="N349" s="63"/>
      <c r="O349" s="63"/>
      <c r="P349" s="63"/>
      <c r="Q349" s="63"/>
      <c r="R349" s="63"/>
      <c r="S349" s="63"/>
      <c r="T349" s="63"/>
      <c r="U349" s="63"/>
      <c r="V349" s="63"/>
      <c r="W349" s="63"/>
      <c r="X349" s="63"/>
      <c r="Y349" s="63"/>
      <c r="Z349" s="63"/>
      <c r="AA349" s="63"/>
      <c r="AB349" s="63"/>
      <c r="AC349" s="63"/>
    </row>
    <row r="350" spans="1:29" ht="15.75">
      <c r="A350" s="59"/>
      <c r="B350" s="61"/>
      <c r="C350" s="62"/>
      <c r="D350" s="62"/>
      <c r="E350" s="62"/>
      <c r="F350" s="62"/>
      <c r="G350" s="63"/>
      <c r="H350" s="63"/>
      <c r="I350" s="63"/>
      <c r="J350" s="63"/>
      <c r="K350" s="63"/>
      <c r="L350" s="63"/>
      <c r="M350" s="63"/>
      <c r="N350" s="63"/>
      <c r="O350" s="63"/>
      <c r="P350" s="63"/>
      <c r="Q350" s="63"/>
      <c r="R350" s="63"/>
      <c r="S350" s="63"/>
      <c r="T350" s="63"/>
      <c r="U350" s="63"/>
      <c r="V350" s="63"/>
      <c r="W350" s="63"/>
      <c r="X350" s="63"/>
      <c r="Y350" s="63"/>
      <c r="Z350" s="63"/>
      <c r="AA350" s="63"/>
      <c r="AB350" s="63"/>
      <c r="AC350" s="63"/>
    </row>
    <row r="351" spans="1:29" ht="15.75">
      <c r="A351" s="59"/>
      <c r="B351" s="61"/>
      <c r="C351" s="62"/>
      <c r="D351" s="62"/>
      <c r="E351" s="62"/>
      <c r="F351" s="62"/>
      <c r="G351" s="63"/>
      <c r="H351" s="63"/>
      <c r="I351" s="63"/>
      <c r="J351" s="63"/>
      <c r="K351" s="63"/>
      <c r="L351" s="63"/>
      <c r="M351" s="63"/>
      <c r="N351" s="63"/>
      <c r="O351" s="63"/>
      <c r="P351" s="63"/>
      <c r="Q351" s="63"/>
      <c r="R351" s="63"/>
      <c r="S351" s="63"/>
      <c r="T351" s="63"/>
      <c r="U351" s="63"/>
      <c r="V351" s="63"/>
      <c r="W351" s="63"/>
      <c r="X351" s="63"/>
      <c r="Y351" s="63"/>
      <c r="Z351" s="63"/>
      <c r="AA351" s="63"/>
      <c r="AB351" s="63"/>
      <c r="AC351" s="63"/>
    </row>
    <row r="352" spans="1:29" ht="15.75">
      <c r="A352" s="59"/>
      <c r="B352" s="61"/>
      <c r="C352" s="62"/>
      <c r="D352" s="62"/>
      <c r="E352" s="62"/>
      <c r="F352" s="62"/>
      <c r="G352" s="63"/>
      <c r="H352" s="63"/>
      <c r="I352" s="63"/>
      <c r="J352" s="63"/>
      <c r="K352" s="63"/>
      <c r="L352" s="63"/>
      <c r="M352" s="63"/>
      <c r="N352" s="63"/>
      <c r="O352" s="63"/>
      <c r="P352" s="63"/>
      <c r="Q352" s="63"/>
      <c r="R352" s="63"/>
      <c r="S352" s="63"/>
      <c r="T352" s="63"/>
      <c r="U352" s="63"/>
      <c r="V352" s="63"/>
      <c r="W352" s="63"/>
      <c r="X352" s="63"/>
      <c r="Y352" s="63"/>
      <c r="Z352" s="63"/>
      <c r="AA352" s="63"/>
      <c r="AB352" s="63"/>
      <c r="AC352" s="63"/>
    </row>
    <row r="353" spans="1:29" ht="15.75">
      <c r="A353" s="59"/>
      <c r="B353" s="61"/>
      <c r="C353" s="62"/>
      <c r="D353" s="62"/>
      <c r="E353" s="62"/>
      <c r="F353" s="62"/>
      <c r="G353" s="63"/>
      <c r="H353" s="63"/>
      <c r="I353" s="63"/>
      <c r="J353" s="63"/>
      <c r="K353" s="63"/>
      <c r="L353" s="63"/>
      <c r="M353" s="63"/>
      <c r="N353" s="63"/>
      <c r="O353" s="63"/>
      <c r="P353" s="63"/>
      <c r="Q353" s="63"/>
      <c r="R353" s="63"/>
      <c r="S353" s="63"/>
      <c r="T353" s="63"/>
      <c r="U353" s="63"/>
      <c r="V353" s="63"/>
      <c r="W353" s="63"/>
      <c r="X353" s="63"/>
      <c r="Y353" s="63"/>
      <c r="Z353" s="63"/>
      <c r="AA353" s="63"/>
      <c r="AB353" s="63"/>
      <c r="AC353" s="63"/>
    </row>
    <row r="354" spans="1:29" ht="15.75">
      <c r="A354" s="59"/>
      <c r="B354" s="61"/>
      <c r="C354" s="62"/>
      <c r="D354" s="62"/>
      <c r="E354" s="62"/>
      <c r="F354" s="62"/>
      <c r="G354" s="63"/>
      <c r="H354" s="63"/>
      <c r="I354" s="63"/>
      <c r="J354" s="63"/>
      <c r="K354" s="63"/>
      <c r="L354" s="63"/>
      <c r="M354" s="63"/>
      <c r="N354" s="63"/>
      <c r="O354" s="63"/>
      <c r="P354" s="63"/>
      <c r="Q354" s="63"/>
      <c r="R354" s="63"/>
      <c r="S354" s="63"/>
      <c r="T354" s="63"/>
      <c r="U354" s="63"/>
      <c r="V354" s="63"/>
      <c r="W354" s="63"/>
      <c r="X354" s="63"/>
      <c r="Y354" s="63"/>
      <c r="Z354" s="63"/>
      <c r="AA354" s="63"/>
      <c r="AB354" s="63"/>
      <c r="AC354" s="63"/>
    </row>
    <row r="355" spans="1:29" ht="15.75">
      <c r="A355" s="59"/>
      <c r="B355" s="61"/>
      <c r="C355" s="62"/>
      <c r="D355" s="62"/>
      <c r="E355" s="62"/>
      <c r="F355" s="62"/>
      <c r="G355" s="63"/>
      <c r="H355" s="63"/>
      <c r="I355" s="63"/>
      <c r="J355" s="63"/>
      <c r="K355" s="63"/>
      <c r="L355" s="63"/>
      <c r="M355" s="63"/>
      <c r="N355" s="63"/>
      <c r="O355" s="63"/>
      <c r="P355" s="63"/>
      <c r="Q355" s="63"/>
      <c r="R355" s="63"/>
      <c r="S355" s="63"/>
      <c r="T355" s="63"/>
      <c r="U355" s="63"/>
      <c r="V355" s="63"/>
      <c r="W355" s="63"/>
      <c r="X355" s="63"/>
      <c r="Y355" s="63"/>
      <c r="Z355" s="63"/>
      <c r="AA355" s="63"/>
      <c r="AB355" s="63"/>
      <c r="AC355" s="63"/>
    </row>
    <row r="356" spans="1:29" ht="15.75">
      <c r="A356" s="59"/>
      <c r="B356" s="61"/>
      <c r="C356" s="62"/>
      <c r="D356" s="62"/>
      <c r="E356" s="62"/>
      <c r="F356" s="62"/>
      <c r="G356" s="63"/>
      <c r="H356" s="63"/>
      <c r="I356" s="63"/>
      <c r="J356" s="63"/>
      <c r="K356" s="63"/>
      <c r="L356" s="63"/>
      <c r="M356" s="63"/>
      <c r="N356" s="63"/>
      <c r="O356" s="63"/>
      <c r="P356" s="63"/>
      <c r="Q356" s="63"/>
      <c r="R356" s="63"/>
      <c r="S356" s="63"/>
      <c r="T356" s="63"/>
      <c r="U356" s="63"/>
      <c r="V356" s="63"/>
      <c r="W356" s="63"/>
      <c r="X356" s="63"/>
      <c r="Y356" s="63"/>
      <c r="Z356" s="63"/>
      <c r="AA356" s="63"/>
      <c r="AB356" s="63"/>
      <c r="AC356" s="63"/>
    </row>
    <row r="357" spans="1:29" ht="15.75">
      <c r="A357" s="59"/>
      <c r="B357" s="61"/>
      <c r="C357" s="62"/>
      <c r="D357" s="62"/>
      <c r="E357" s="62"/>
      <c r="F357" s="62"/>
      <c r="G357" s="63"/>
      <c r="H357" s="63"/>
      <c r="I357" s="63"/>
      <c r="J357" s="63"/>
      <c r="K357" s="63"/>
      <c r="L357" s="63"/>
      <c r="M357" s="63"/>
      <c r="N357" s="63"/>
      <c r="O357" s="63"/>
      <c r="P357" s="63"/>
      <c r="Q357" s="63"/>
      <c r="R357" s="63"/>
      <c r="S357" s="63"/>
      <c r="T357" s="63"/>
      <c r="U357" s="63"/>
      <c r="V357" s="63"/>
      <c r="W357" s="63"/>
      <c r="X357" s="63"/>
      <c r="Y357" s="63"/>
      <c r="Z357" s="63"/>
      <c r="AA357" s="63"/>
      <c r="AB357" s="63"/>
      <c r="AC357" s="63"/>
    </row>
    <row r="358" spans="1:29" ht="15.75">
      <c r="A358" s="59"/>
      <c r="B358" s="61"/>
      <c r="C358" s="62"/>
      <c r="D358" s="62"/>
      <c r="E358" s="62"/>
      <c r="F358" s="62"/>
      <c r="G358" s="63"/>
      <c r="H358" s="63"/>
      <c r="I358" s="63"/>
      <c r="J358" s="63"/>
      <c r="K358" s="63"/>
      <c r="L358" s="63"/>
      <c r="M358" s="63"/>
      <c r="N358" s="63"/>
      <c r="O358" s="63"/>
      <c r="P358" s="63"/>
      <c r="Q358" s="63"/>
      <c r="R358" s="63"/>
      <c r="S358" s="63"/>
      <c r="T358" s="63"/>
      <c r="U358" s="63"/>
      <c r="V358" s="63"/>
      <c r="W358" s="63"/>
      <c r="X358" s="63"/>
      <c r="Y358" s="63"/>
      <c r="Z358" s="63"/>
      <c r="AA358" s="63"/>
      <c r="AB358" s="63"/>
      <c r="AC358" s="63"/>
    </row>
    <row r="359" spans="1:29" ht="15.75">
      <c r="A359" s="59"/>
      <c r="B359" s="61"/>
      <c r="C359" s="62"/>
      <c r="D359" s="62"/>
      <c r="E359" s="62"/>
      <c r="F359" s="62"/>
      <c r="G359" s="63"/>
      <c r="H359" s="63"/>
      <c r="I359" s="63"/>
      <c r="J359" s="63"/>
      <c r="K359" s="63"/>
      <c r="L359" s="63"/>
      <c r="M359" s="63"/>
      <c r="N359" s="63"/>
      <c r="O359" s="63"/>
      <c r="P359" s="63"/>
      <c r="Q359" s="63"/>
      <c r="R359" s="63"/>
      <c r="S359" s="63"/>
      <c r="T359" s="63"/>
      <c r="U359" s="63"/>
      <c r="V359" s="63"/>
      <c r="W359" s="63"/>
      <c r="X359" s="63"/>
      <c r="Y359" s="63"/>
      <c r="Z359" s="63"/>
      <c r="AA359" s="63"/>
      <c r="AB359" s="63"/>
      <c r="AC359" s="63"/>
    </row>
    <row r="360" spans="1:29" ht="15.75">
      <c r="A360" s="59"/>
      <c r="B360" s="61"/>
      <c r="C360" s="62"/>
      <c r="D360" s="62"/>
      <c r="E360" s="62"/>
      <c r="F360" s="62"/>
      <c r="G360" s="63"/>
      <c r="H360" s="63"/>
      <c r="I360" s="63"/>
      <c r="J360" s="63"/>
      <c r="K360" s="63"/>
      <c r="L360" s="63"/>
      <c r="M360" s="63"/>
      <c r="N360" s="63"/>
      <c r="O360" s="63"/>
      <c r="P360" s="63"/>
      <c r="Q360" s="63"/>
      <c r="R360" s="63"/>
      <c r="S360" s="63"/>
      <c r="T360" s="63"/>
      <c r="U360" s="63"/>
      <c r="V360" s="63"/>
      <c r="W360" s="63"/>
      <c r="X360" s="63"/>
      <c r="Y360" s="63"/>
      <c r="Z360" s="63"/>
      <c r="AA360" s="63"/>
      <c r="AB360" s="63"/>
      <c r="AC360" s="63"/>
    </row>
    <row r="361" spans="1:29" ht="15.75">
      <c r="A361" s="59"/>
      <c r="B361" s="61"/>
      <c r="C361" s="62"/>
      <c r="D361" s="62"/>
      <c r="E361" s="62"/>
      <c r="F361" s="62"/>
      <c r="G361" s="63"/>
      <c r="H361" s="63"/>
      <c r="I361" s="63"/>
      <c r="J361" s="63"/>
      <c r="K361" s="63"/>
      <c r="L361" s="63"/>
      <c r="M361" s="63"/>
      <c r="N361" s="63"/>
      <c r="O361" s="63"/>
      <c r="P361" s="63"/>
      <c r="Q361" s="63"/>
      <c r="R361" s="63"/>
      <c r="S361" s="63"/>
      <c r="T361" s="63"/>
      <c r="U361" s="63"/>
      <c r="V361" s="63"/>
      <c r="W361" s="63"/>
      <c r="X361" s="63"/>
      <c r="Y361" s="63"/>
      <c r="Z361" s="63"/>
      <c r="AA361" s="63"/>
      <c r="AB361" s="63"/>
      <c r="AC361" s="63"/>
    </row>
    <row r="362" spans="1:29" ht="15.75">
      <c r="A362" s="59"/>
      <c r="B362" s="61"/>
      <c r="C362" s="62"/>
      <c r="D362" s="62"/>
      <c r="E362" s="62"/>
      <c r="F362" s="62"/>
      <c r="G362" s="63"/>
      <c r="H362" s="63"/>
      <c r="I362" s="63"/>
      <c r="J362" s="63"/>
      <c r="K362" s="63"/>
      <c r="L362" s="63"/>
      <c r="M362" s="63"/>
      <c r="N362" s="63"/>
      <c r="O362" s="63"/>
      <c r="P362" s="63"/>
      <c r="Q362" s="63"/>
      <c r="R362" s="63"/>
      <c r="S362" s="63"/>
      <c r="T362" s="63"/>
      <c r="U362" s="63"/>
      <c r="V362" s="63"/>
      <c r="W362" s="63"/>
      <c r="X362" s="63"/>
      <c r="Y362" s="63"/>
      <c r="Z362" s="63"/>
      <c r="AA362" s="63"/>
      <c r="AB362" s="63"/>
      <c r="AC362" s="63"/>
    </row>
    <row r="363" spans="1:29" ht="15.75">
      <c r="A363" s="59"/>
      <c r="B363" s="61"/>
      <c r="C363" s="62"/>
      <c r="D363" s="62"/>
      <c r="E363" s="62"/>
      <c r="F363" s="62"/>
      <c r="G363" s="63"/>
      <c r="H363" s="63"/>
      <c r="I363" s="63"/>
      <c r="J363" s="63"/>
      <c r="K363" s="63"/>
      <c r="L363" s="63"/>
      <c r="M363" s="63"/>
      <c r="N363" s="63"/>
      <c r="O363" s="63"/>
      <c r="P363" s="63"/>
      <c r="Q363" s="63"/>
      <c r="R363" s="63"/>
      <c r="S363" s="63"/>
      <c r="T363" s="63"/>
      <c r="U363" s="63"/>
      <c r="V363" s="63"/>
      <c r="W363" s="63"/>
      <c r="X363" s="63"/>
      <c r="Y363" s="63"/>
      <c r="Z363" s="63"/>
      <c r="AA363" s="63"/>
      <c r="AB363" s="63"/>
      <c r="AC363" s="63"/>
    </row>
    <row r="364" spans="1:29" ht="15.75">
      <c r="A364" s="59"/>
      <c r="B364" s="61"/>
      <c r="C364" s="62"/>
      <c r="D364" s="62"/>
      <c r="E364" s="62"/>
      <c r="F364" s="62"/>
      <c r="G364" s="63"/>
      <c r="H364" s="63"/>
      <c r="I364" s="63"/>
      <c r="J364" s="63"/>
      <c r="K364" s="63"/>
      <c r="L364" s="63"/>
      <c r="M364" s="63"/>
      <c r="N364" s="63"/>
      <c r="O364" s="63"/>
      <c r="P364" s="63"/>
      <c r="Q364" s="63"/>
      <c r="R364" s="63"/>
      <c r="S364" s="63"/>
      <c r="T364" s="63"/>
      <c r="U364" s="63"/>
      <c r="V364" s="63"/>
      <c r="W364" s="63"/>
      <c r="X364" s="63"/>
      <c r="Y364" s="63"/>
      <c r="Z364" s="63"/>
      <c r="AA364" s="63"/>
      <c r="AB364" s="63"/>
      <c r="AC364" s="63"/>
    </row>
    <row r="365" spans="1:29" ht="15.75">
      <c r="A365" s="59"/>
      <c r="B365" s="61"/>
      <c r="C365" s="62"/>
      <c r="D365" s="62"/>
      <c r="E365" s="62"/>
      <c r="F365" s="62"/>
      <c r="G365" s="63"/>
      <c r="H365" s="63"/>
      <c r="I365" s="63"/>
      <c r="J365" s="63"/>
      <c r="K365" s="63"/>
      <c r="L365" s="63"/>
      <c r="M365" s="63"/>
      <c r="N365" s="63"/>
      <c r="O365" s="63"/>
      <c r="P365" s="63"/>
      <c r="Q365" s="63"/>
      <c r="R365" s="63"/>
      <c r="S365" s="63"/>
      <c r="T365" s="63"/>
      <c r="U365" s="63"/>
      <c r="V365" s="63"/>
      <c r="W365" s="63"/>
      <c r="X365" s="63"/>
      <c r="Y365" s="63"/>
      <c r="Z365" s="63"/>
      <c r="AA365" s="63"/>
      <c r="AB365" s="63"/>
      <c r="AC365" s="63"/>
    </row>
    <row r="366" spans="1:29" ht="15.75">
      <c r="A366" s="59"/>
      <c r="B366" s="61"/>
      <c r="C366" s="62"/>
      <c r="D366" s="62"/>
      <c r="E366" s="62"/>
      <c r="F366" s="62"/>
      <c r="G366" s="63"/>
      <c r="H366" s="63"/>
      <c r="I366" s="63"/>
      <c r="J366" s="63"/>
      <c r="K366" s="63"/>
      <c r="L366" s="63"/>
      <c r="M366" s="63"/>
      <c r="N366" s="63"/>
      <c r="O366" s="63"/>
      <c r="P366" s="63"/>
      <c r="Q366" s="63"/>
      <c r="R366" s="63"/>
      <c r="S366" s="63"/>
      <c r="T366" s="63"/>
      <c r="U366" s="63"/>
      <c r="V366" s="63"/>
      <c r="W366" s="63"/>
      <c r="X366" s="63"/>
      <c r="Y366" s="63"/>
      <c r="Z366" s="63"/>
      <c r="AA366" s="63"/>
      <c r="AB366" s="63"/>
      <c r="AC366" s="63"/>
    </row>
    <row r="367" spans="1:29" ht="15.75">
      <c r="A367" s="59"/>
      <c r="B367" s="61"/>
      <c r="C367" s="62"/>
      <c r="D367" s="62"/>
      <c r="E367" s="62"/>
      <c r="F367" s="62"/>
      <c r="G367" s="63"/>
      <c r="H367" s="63"/>
      <c r="I367" s="63"/>
      <c r="J367" s="63"/>
      <c r="K367" s="63"/>
      <c r="L367" s="63"/>
      <c r="M367" s="63"/>
      <c r="N367" s="63"/>
      <c r="O367" s="63"/>
      <c r="P367" s="63"/>
      <c r="Q367" s="63"/>
      <c r="R367" s="63"/>
      <c r="S367" s="63"/>
      <c r="T367" s="63"/>
      <c r="U367" s="63"/>
      <c r="V367" s="63"/>
      <c r="W367" s="63"/>
      <c r="X367" s="63"/>
      <c r="Y367" s="63"/>
      <c r="Z367" s="63"/>
      <c r="AA367" s="63"/>
      <c r="AB367" s="63"/>
      <c r="AC367" s="63"/>
    </row>
    <row r="368" spans="1:29" ht="15.75">
      <c r="A368" s="59"/>
      <c r="B368" s="61"/>
      <c r="C368" s="62"/>
      <c r="D368" s="62"/>
      <c r="E368" s="62"/>
      <c r="F368" s="62"/>
      <c r="G368" s="63"/>
      <c r="H368" s="63"/>
      <c r="I368" s="63"/>
      <c r="J368" s="63"/>
      <c r="K368" s="63"/>
      <c r="L368" s="63"/>
      <c r="M368" s="63"/>
      <c r="N368" s="63"/>
      <c r="O368" s="63"/>
      <c r="P368" s="63"/>
      <c r="Q368" s="63"/>
      <c r="R368" s="63"/>
      <c r="S368" s="63"/>
      <c r="T368" s="63"/>
      <c r="U368" s="63"/>
      <c r="V368" s="63"/>
      <c r="W368" s="63"/>
      <c r="X368" s="63"/>
      <c r="Y368" s="63"/>
      <c r="Z368" s="63"/>
      <c r="AA368" s="63"/>
      <c r="AB368" s="63"/>
      <c r="AC368" s="63"/>
    </row>
    <row r="369" spans="1:29" ht="15.75">
      <c r="A369" s="59"/>
      <c r="B369" s="61"/>
      <c r="C369" s="62"/>
      <c r="D369" s="62"/>
      <c r="E369" s="62"/>
      <c r="F369" s="62"/>
      <c r="G369" s="63"/>
      <c r="H369" s="63"/>
      <c r="I369" s="63"/>
      <c r="J369" s="63"/>
      <c r="K369" s="63"/>
      <c r="L369" s="63"/>
      <c r="M369" s="63"/>
      <c r="N369" s="63"/>
      <c r="O369" s="63"/>
      <c r="P369" s="63"/>
      <c r="Q369" s="63"/>
      <c r="R369" s="63"/>
      <c r="S369" s="63"/>
      <c r="T369" s="63"/>
      <c r="U369" s="63"/>
      <c r="V369" s="63"/>
      <c r="W369" s="63"/>
      <c r="X369" s="63"/>
      <c r="Y369" s="63"/>
      <c r="Z369" s="63"/>
      <c r="AA369" s="63"/>
      <c r="AB369" s="63"/>
      <c r="AC369" s="63"/>
    </row>
    <row r="370" spans="1:29" ht="15.75">
      <c r="A370" s="59"/>
      <c r="B370" s="61"/>
      <c r="C370" s="62"/>
      <c r="D370" s="62"/>
      <c r="E370" s="62"/>
      <c r="F370" s="62"/>
      <c r="G370" s="63"/>
      <c r="H370" s="63"/>
      <c r="I370" s="63"/>
      <c r="J370" s="63"/>
      <c r="K370" s="63"/>
      <c r="L370" s="63"/>
      <c r="M370" s="63"/>
      <c r="N370" s="63"/>
      <c r="O370" s="63"/>
      <c r="P370" s="63"/>
      <c r="Q370" s="63"/>
      <c r="R370" s="63"/>
      <c r="S370" s="63"/>
      <c r="T370" s="63"/>
      <c r="U370" s="63"/>
      <c r="V370" s="63"/>
      <c r="W370" s="63"/>
      <c r="X370" s="63"/>
      <c r="Y370" s="63"/>
      <c r="Z370" s="63"/>
      <c r="AA370" s="63"/>
      <c r="AB370" s="63"/>
      <c r="AC370" s="63"/>
    </row>
    <row r="371" spans="1:29" ht="15.75">
      <c r="A371" s="59"/>
      <c r="B371" s="61"/>
      <c r="C371" s="62"/>
      <c r="D371" s="62"/>
      <c r="E371" s="62"/>
      <c r="F371" s="62"/>
      <c r="G371" s="63"/>
      <c r="H371" s="63"/>
      <c r="I371" s="63"/>
      <c r="J371" s="63"/>
      <c r="K371" s="63"/>
      <c r="L371" s="63"/>
      <c r="M371" s="63"/>
      <c r="N371" s="63"/>
      <c r="O371" s="63"/>
      <c r="P371" s="63"/>
      <c r="Q371" s="63"/>
      <c r="R371" s="63"/>
      <c r="S371" s="63"/>
      <c r="T371" s="63"/>
      <c r="U371" s="63"/>
      <c r="V371" s="63"/>
      <c r="W371" s="63"/>
      <c r="X371" s="63"/>
      <c r="Y371" s="63"/>
      <c r="Z371" s="63"/>
      <c r="AA371" s="63"/>
      <c r="AB371" s="63"/>
      <c r="AC371" s="63"/>
    </row>
    <row r="372" spans="1:29" ht="15.75">
      <c r="A372" s="59"/>
      <c r="B372" s="61"/>
      <c r="C372" s="62"/>
      <c r="D372" s="62"/>
      <c r="E372" s="62"/>
      <c r="F372" s="62"/>
      <c r="G372" s="63"/>
      <c r="H372" s="63"/>
      <c r="I372" s="63"/>
      <c r="J372" s="63"/>
      <c r="K372" s="63"/>
      <c r="L372" s="63"/>
      <c r="M372" s="63"/>
      <c r="N372" s="63"/>
      <c r="O372" s="63"/>
      <c r="P372" s="63"/>
      <c r="Q372" s="63"/>
      <c r="R372" s="63"/>
      <c r="S372" s="63"/>
      <c r="T372" s="63"/>
      <c r="U372" s="63"/>
      <c r="V372" s="63"/>
      <c r="W372" s="63"/>
      <c r="X372" s="63"/>
      <c r="Y372" s="63"/>
      <c r="Z372" s="63"/>
      <c r="AA372" s="63"/>
      <c r="AB372" s="63"/>
      <c r="AC372" s="63"/>
    </row>
    <row r="373" spans="1:29" ht="15.75">
      <c r="A373" s="59"/>
      <c r="B373" s="61"/>
      <c r="C373" s="62"/>
      <c r="D373" s="62"/>
      <c r="E373" s="62"/>
      <c r="F373" s="62"/>
      <c r="G373" s="63"/>
      <c r="H373" s="63"/>
      <c r="I373" s="63"/>
      <c r="J373" s="63"/>
      <c r="K373" s="63"/>
      <c r="L373" s="63"/>
      <c r="M373" s="63"/>
      <c r="N373" s="63"/>
      <c r="O373" s="63"/>
      <c r="P373" s="63"/>
      <c r="Q373" s="63"/>
      <c r="R373" s="63"/>
      <c r="S373" s="63"/>
      <c r="T373" s="63"/>
      <c r="U373" s="63"/>
      <c r="V373" s="63"/>
      <c r="W373" s="63"/>
      <c r="X373" s="63"/>
      <c r="Y373" s="63"/>
      <c r="Z373" s="63"/>
      <c r="AA373" s="63"/>
      <c r="AB373" s="63"/>
      <c r="AC373" s="63"/>
    </row>
    <row r="374" spans="1:29" ht="15.75">
      <c r="A374" s="59"/>
      <c r="B374" s="61"/>
      <c r="C374" s="62"/>
      <c r="D374" s="62"/>
      <c r="E374" s="62"/>
      <c r="F374" s="62"/>
      <c r="G374" s="63"/>
      <c r="H374" s="63"/>
      <c r="I374" s="63"/>
      <c r="J374" s="63"/>
      <c r="K374" s="63"/>
      <c r="L374" s="63"/>
      <c r="M374" s="63"/>
      <c r="N374" s="63"/>
      <c r="O374" s="63"/>
      <c r="P374" s="63"/>
      <c r="Q374" s="63"/>
      <c r="R374" s="63"/>
      <c r="S374" s="63"/>
      <c r="T374" s="63"/>
      <c r="U374" s="63"/>
      <c r="V374" s="63"/>
      <c r="W374" s="63"/>
      <c r="X374" s="63"/>
      <c r="Y374" s="63"/>
      <c r="Z374" s="63"/>
      <c r="AA374" s="63"/>
      <c r="AB374" s="63"/>
      <c r="AC374" s="63"/>
    </row>
    <row r="375" spans="1:29" ht="15.75">
      <c r="A375" s="59"/>
      <c r="B375" s="61"/>
      <c r="C375" s="62"/>
      <c r="D375" s="62"/>
      <c r="E375" s="62"/>
      <c r="F375" s="62"/>
      <c r="G375" s="63"/>
      <c r="H375" s="63"/>
      <c r="I375" s="63"/>
      <c r="J375" s="63"/>
      <c r="K375" s="63"/>
      <c r="L375" s="63"/>
      <c r="M375" s="63"/>
      <c r="N375" s="63"/>
      <c r="O375" s="63"/>
      <c r="P375" s="63"/>
      <c r="Q375" s="63"/>
      <c r="R375" s="63"/>
      <c r="S375" s="63"/>
      <c r="T375" s="63"/>
      <c r="U375" s="63"/>
      <c r="V375" s="63"/>
      <c r="W375" s="63"/>
      <c r="X375" s="63"/>
      <c r="Y375" s="63"/>
      <c r="Z375" s="63"/>
      <c r="AA375" s="63"/>
      <c r="AB375" s="63"/>
      <c r="AC375" s="63"/>
    </row>
    <row r="376" spans="1:29" ht="15.75">
      <c r="A376" s="59"/>
      <c r="B376" s="61"/>
      <c r="C376" s="62"/>
      <c r="D376" s="62"/>
      <c r="E376" s="62"/>
      <c r="F376" s="62"/>
      <c r="G376" s="63"/>
      <c r="H376" s="63"/>
      <c r="I376" s="63"/>
      <c r="J376" s="63"/>
      <c r="K376" s="63"/>
      <c r="L376" s="63"/>
      <c r="M376" s="63"/>
      <c r="N376" s="63"/>
      <c r="O376" s="63"/>
      <c r="P376" s="63"/>
      <c r="Q376" s="63"/>
      <c r="R376" s="63"/>
      <c r="S376" s="63"/>
      <c r="T376" s="63"/>
      <c r="U376" s="63"/>
      <c r="V376" s="63"/>
      <c r="W376" s="63"/>
      <c r="X376" s="63"/>
      <c r="Y376" s="63"/>
      <c r="Z376" s="63"/>
      <c r="AA376" s="63"/>
      <c r="AB376" s="63"/>
      <c r="AC376" s="63"/>
    </row>
    <row r="377" spans="1:29" ht="15.75">
      <c r="A377" s="59"/>
      <c r="B377" s="61"/>
      <c r="C377" s="62"/>
      <c r="D377" s="62"/>
      <c r="E377" s="62"/>
      <c r="F377" s="62"/>
      <c r="G377" s="63"/>
      <c r="H377" s="63"/>
      <c r="I377" s="63"/>
      <c r="J377" s="63"/>
      <c r="K377" s="63"/>
      <c r="L377" s="63"/>
      <c r="M377" s="63"/>
      <c r="N377" s="63"/>
      <c r="O377" s="63"/>
      <c r="P377" s="63"/>
      <c r="Q377" s="63"/>
      <c r="R377" s="63"/>
      <c r="S377" s="63"/>
      <c r="T377" s="63"/>
      <c r="U377" s="63"/>
      <c r="V377" s="63"/>
      <c r="W377" s="63"/>
      <c r="X377" s="63"/>
      <c r="Y377" s="63"/>
      <c r="Z377" s="63"/>
      <c r="AA377" s="63"/>
      <c r="AB377" s="63"/>
      <c r="AC377" s="63"/>
    </row>
    <row r="378" spans="1:29" ht="15.75">
      <c r="A378" s="59"/>
      <c r="B378" s="61"/>
      <c r="C378" s="62"/>
      <c r="D378" s="62"/>
      <c r="E378" s="62"/>
      <c r="F378" s="62"/>
      <c r="G378" s="63"/>
      <c r="H378" s="63"/>
      <c r="I378" s="63"/>
      <c r="J378" s="63"/>
      <c r="K378" s="63"/>
      <c r="L378" s="63"/>
      <c r="M378" s="63"/>
      <c r="N378" s="63"/>
      <c r="O378" s="63"/>
      <c r="P378" s="63"/>
      <c r="Q378" s="63"/>
      <c r="R378" s="63"/>
      <c r="S378" s="63"/>
      <c r="T378" s="63"/>
      <c r="U378" s="63"/>
      <c r="V378" s="63"/>
      <c r="W378" s="63"/>
      <c r="X378" s="63"/>
      <c r="Y378" s="63"/>
      <c r="Z378" s="63"/>
      <c r="AA378" s="63"/>
      <c r="AB378" s="63"/>
      <c r="AC378" s="63"/>
    </row>
    <row r="379" spans="1:29" ht="15.75">
      <c r="A379" s="59"/>
      <c r="B379" s="61"/>
      <c r="C379" s="62"/>
      <c r="D379" s="62"/>
      <c r="E379" s="62"/>
      <c r="F379" s="62"/>
      <c r="G379" s="63"/>
      <c r="H379" s="63"/>
      <c r="I379" s="63"/>
      <c r="J379" s="63"/>
      <c r="K379" s="63"/>
      <c r="L379" s="63"/>
      <c r="M379" s="63"/>
      <c r="N379" s="63"/>
      <c r="O379" s="63"/>
      <c r="P379" s="63"/>
      <c r="Q379" s="63"/>
      <c r="R379" s="63"/>
      <c r="S379" s="63"/>
      <c r="T379" s="63"/>
      <c r="U379" s="63"/>
      <c r="V379" s="63"/>
      <c r="W379" s="63"/>
      <c r="X379" s="63"/>
      <c r="Y379" s="63"/>
      <c r="Z379" s="63"/>
      <c r="AA379" s="63"/>
      <c r="AB379" s="63"/>
      <c r="AC379" s="63"/>
    </row>
    <row r="380" spans="1:29" ht="15.75">
      <c r="A380" s="59"/>
      <c r="B380" s="61"/>
      <c r="C380" s="62"/>
      <c r="D380" s="62"/>
      <c r="E380" s="62"/>
      <c r="F380" s="62"/>
      <c r="G380" s="63"/>
      <c r="H380" s="63"/>
      <c r="I380" s="63"/>
      <c r="J380" s="63"/>
      <c r="K380" s="63"/>
      <c r="L380" s="63"/>
      <c r="M380" s="63"/>
      <c r="N380" s="63"/>
      <c r="O380" s="63"/>
      <c r="P380" s="63"/>
      <c r="Q380" s="63"/>
      <c r="R380" s="63"/>
      <c r="S380" s="63"/>
      <c r="T380" s="63"/>
      <c r="U380" s="63"/>
      <c r="V380" s="63"/>
      <c r="W380" s="63"/>
      <c r="X380" s="63"/>
      <c r="Y380" s="63"/>
      <c r="Z380" s="63"/>
      <c r="AA380" s="63"/>
      <c r="AB380" s="63"/>
      <c r="AC380" s="63"/>
    </row>
    <row r="381" spans="1:29" ht="15.75">
      <c r="A381" s="59"/>
      <c r="B381" s="61"/>
      <c r="C381" s="62"/>
      <c r="D381" s="62"/>
      <c r="E381" s="62"/>
      <c r="F381" s="62"/>
      <c r="G381" s="63"/>
      <c r="H381" s="63"/>
      <c r="I381" s="63"/>
      <c r="J381" s="63"/>
      <c r="K381" s="63"/>
      <c r="L381" s="63"/>
      <c r="M381" s="63"/>
      <c r="N381" s="63"/>
      <c r="O381" s="63"/>
      <c r="P381" s="63"/>
      <c r="Q381" s="63"/>
      <c r="R381" s="63"/>
      <c r="S381" s="63"/>
      <c r="T381" s="63"/>
      <c r="U381" s="63"/>
      <c r="V381" s="63"/>
      <c r="W381" s="63"/>
      <c r="X381" s="63"/>
      <c r="Y381" s="63"/>
      <c r="Z381" s="63"/>
      <c r="AA381" s="63"/>
      <c r="AB381" s="63"/>
      <c r="AC381" s="63"/>
    </row>
    <row r="382" spans="1:29" ht="15.75">
      <c r="A382" s="59"/>
      <c r="B382" s="61"/>
      <c r="C382" s="62"/>
      <c r="D382" s="62"/>
      <c r="E382" s="62"/>
      <c r="F382" s="62"/>
      <c r="G382" s="63"/>
      <c r="H382" s="63"/>
      <c r="I382" s="63"/>
      <c r="J382" s="63"/>
      <c r="K382" s="63"/>
      <c r="L382" s="63"/>
      <c r="M382" s="63"/>
      <c r="N382" s="63"/>
      <c r="O382" s="63"/>
      <c r="P382" s="63"/>
      <c r="Q382" s="63"/>
      <c r="R382" s="63"/>
      <c r="S382" s="63"/>
      <c r="T382" s="63"/>
      <c r="U382" s="63"/>
      <c r="V382" s="63"/>
      <c r="W382" s="63"/>
      <c r="X382" s="63"/>
      <c r="Y382" s="63"/>
      <c r="Z382" s="63"/>
      <c r="AA382" s="63"/>
      <c r="AB382" s="63"/>
      <c r="AC382" s="63"/>
    </row>
    <row r="383" spans="1:29" ht="15.75">
      <c r="A383" s="59"/>
      <c r="B383" s="61"/>
      <c r="C383" s="62"/>
      <c r="D383" s="62"/>
      <c r="E383" s="62"/>
      <c r="F383" s="62"/>
      <c r="G383" s="63"/>
      <c r="H383" s="63"/>
      <c r="I383" s="63"/>
      <c r="J383" s="63"/>
      <c r="K383" s="63"/>
      <c r="L383" s="63"/>
      <c r="M383" s="63"/>
      <c r="N383" s="63"/>
      <c r="O383" s="63"/>
      <c r="P383" s="63"/>
      <c r="Q383" s="63"/>
      <c r="R383" s="63"/>
      <c r="S383" s="63"/>
      <c r="T383" s="63"/>
      <c r="U383" s="63"/>
      <c r="V383" s="63"/>
      <c r="W383" s="63"/>
      <c r="X383" s="63"/>
      <c r="Y383" s="63"/>
      <c r="Z383" s="63"/>
      <c r="AA383" s="63"/>
      <c r="AB383" s="63"/>
      <c r="AC383" s="63"/>
    </row>
    <row r="384" spans="1:29" ht="15.75">
      <c r="A384" s="59"/>
      <c r="B384" s="61"/>
      <c r="C384" s="62"/>
      <c r="D384" s="62"/>
      <c r="E384" s="62"/>
      <c r="F384" s="62"/>
      <c r="G384" s="63"/>
      <c r="H384" s="63"/>
      <c r="I384" s="63"/>
      <c r="J384" s="63"/>
      <c r="K384" s="63"/>
      <c r="L384" s="63"/>
      <c r="M384" s="63"/>
      <c r="N384" s="63"/>
      <c r="O384" s="63"/>
      <c r="P384" s="63"/>
      <c r="Q384" s="63"/>
      <c r="R384" s="63"/>
      <c r="S384" s="63"/>
      <c r="T384" s="63"/>
      <c r="U384" s="63"/>
      <c r="V384" s="63"/>
      <c r="W384" s="63"/>
      <c r="X384" s="63"/>
      <c r="Y384" s="63"/>
      <c r="Z384" s="63"/>
      <c r="AA384" s="63"/>
      <c r="AB384" s="63"/>
      <c r="AC384" s="63"/>
    </row>
    <row r="385" spans="1:29" ht="15.75">
      <c r="A385" s="59"/>
      <c r="B385" s="61"/>
      <c r="C385" s="62"/>
      <c r="D385" s="62"/>
      <c r="E385" s="62"/>
      <c r="F385" s="62"/>
      <c r="G385" s="63"/>
      <c r="H385" s="63"/>
      <c r="I385" s="63"/>
      <c r="J385" s="63"/>
      <c r="K385" s="63"/>
      <c r="L385" s="63"/>
      <c r="M385" s="63"/>
      <c r="N385" s="63"/>
      <c r="O385" s="63"/>
      <c r="P385" s="63"/>
      <c r="Q385" s="63"/>
      <c r="R385" s="63"/>
      <c r="S385" s="63"/>
      <c r="T385" s="63"/>
      <c r="U385" s="63"/>
      <c r="V385" s="63"/>
      <c r="W385" s="63"/>
      <c r="X385" s="63"/>
      <c r="Y385" s="63"/>
      <c r="Z385" s="63"/>
      <c r="AA385" s="63"/>
      <c r="AB385" s="63"/>
      <c r="AC385" s="63"/>
    </row>
    <row r="386" spans="1:29" ht="15.75">
      <c r="A386" s="59"/>
      <c r="B386" s="61"/>
      <c r="C386" s="62"/>
      <c r="D386" s="62"/>
      <c r="E386" s="62"/>
      <c r="F386" s="62"/>
      <c r="G386" s="63"/>
      <c r="H386" s="63"/>
      <c r="I386" s="63"/>
      <c r="J386" s="63"/>
      <c r="K386" s="63"/>
      <c r="L386" s="63"/>
      <c r="M386" s="63"/>
      <c r="N386" s="63"/>
      <c r="O386" s="63"/>
      <c r="P386" s="63"/>
      <c r="Q386" s="63"/>
      <c r="R386" s="63"/>
      <c r="S386" s="63"/>
      <c r="T386" s="63"/>
      <c r="U386" s="63"/>
      <c r="V386" s="63"/>
      <c r="W386" s="63"/>
      <c r="X386" s="63"/>
      <c r="Y386" s="63"/>
      <c r="Z386" s="63"/>
      <c r="AA386" s="63"/>
      <c r="AB386" s="63"/>
      <c r="AC386" s="63"/>
    </row>
    <row r="387" spans="1:29" ht="15.75">
      <c r="A387" s="59"/>
      <c r="B387" s="61"/>
      <c r="C387" s="62"/>
      <c r="D387" s="62"/>
      <c r="E387" s="62"/>
      <c r="F387" s="62"/>
      <c r="G387" s="63"/>
      <c r="H387" s="63"/>
      <c r="I387" s="63"/>
      <c r="J387" s="63"/>
      <c r="K387" s="63"/>
      <c r="L387" s="63"/>
      <c r="M387" s="63"/>
      <c r="N387" s="63"/>
      <c r="O387" s="63"/>
      <c r="P387" s="63"/>
      <c r="Q387" s="63"/>
      <c r="R387" s="63"/>
      <c r="S387" s="63"/>
      <c r="T387" s="63"/>
      <c r="U387" s="63"/>
      <c r="V387" s="63"/>
      <c r="W387" s="63"/>
      <c r="X387" s="63"/>
      <c r="Y387" s="63"/>
      <c r="Z387" s="63"/>
      <c r="AA387" s="63"/>
      <c r="AB387" s="63"/>
      <c r="AC387" s="63"/>
    </row>
    <row r="388" spans="1:29" ht="15.75">
      <c r="A388" s="59"/>
      <c r="B388" s="61"/>
      <c r="C388" s="62"/>
      <c r="D388" s="62"/>
      <c r="E388" s="62"/>
      <c r="F388" s="62"/>
      <c r="G388" s="63"/>
      <c r="H388" s="63"/>
      <c r="I388" s="63"/>
      <c r="J388" s="63"/>
      <c r="K388" s="63"/>
      <c r="L388" s="63"/>
      <c r="M388" s="63"/>
      <c r="N388" s="63"/>
      <c r="O388" s="63"/>
      <c r="P388" s="63"/>
      <c r="Q388" s="63"/>
      <c r="R388" s="63"/>
      <c r="S388" s="63"/>
      <c r="T388" s="63"/>
      <c r="U388" s="63"/>
      <c r="V388" s="63"/>
      <c r="W388" s="63"/>
      <c r="X388" s="63"/>
      <c r="Y388" s="63"/>
      <c r="Z388" s="63"/>
      <c r="AA388" s="63"/>
      <c r="AB388" s="63"/>
      <c r="AC388" s="63"/>
    </row>
    <row r="389" spans="1:29" ht="15.75">
      <c r="A389" s="59"/>
      <c r="B389" s="61"/>
      <c r="C389" s="62"/>
      <c r="D389" s="62"/>
      <c r="E389" s="62"/>
      <c r="F389" s="62"/>
      <c r="G389" s="63"/>
      <c r="H389" s="63"/>
      <c r="I389" s="63"/>
      <c r="J389" s="63"/>
      <c r="K389" s="63"/>
      <c r="L389" s="63"/>
      <c r="M389" s="63"/>
      <c r="N389" s="63"/>
      <c r="O389" s="63"/>
      <c r="P389" s="63"/>
      <c r="Q389" s="63"/>
      <c r="R389" s="63"/>
      <c r="S389" s="63"/>
      <c r="T389" s="63"/>
      <c r="U389" s="63"/>
      <c r="V389" s="63"/>
      <c r="W389" s="63"/>
      <c r="X389" s="63"/>
      <c r="Y389" s="63"/>
      <c r="Z389" s="63"/>
      <c r="AA389" s="63"/>
      <c r="AB389" s="63"/>
      <c r="AC389" s="63"/>
    </row>
    <row r="390" spans="1:29" ht="15.75">
      <c r="A390" s="59"/>
      <c r="B390" s="61"/>
      <c r="C390" s="62"/>
      <c r="D390" s="62"/>
      <c r="E390" s="62"/>
      <c r="F390" s="62"/>
      <c r="G390" s="63"/>
      <c r="H390" s="63"/>
      <c r="I390" s="63"/>
      <c r="J390" s="63"/>
      <c r="K390" s="63"/>
      <c r="L390" s="63"/>
      <c r="M390" s="63"/>
      <c r="N390" s="63"/>
      <c r="O390" s="63"/>
      <c r="P390" s="63"/>
      <c r="Q390" s="63"/>
      <c r="R390" s="63"/>
      <c r="S390" s="63"/>
      <c r="T390" s="63"/>
      <c r="U390" s="63"/>
      <c r="V390" s="63"/>
      <c r="W390" s="63"/>
      <c r="X390" s="63"/>
      <c r="Y390" s="63"/>
      <c r="Z390" s="63"/>
      <c r="AA390" s="63"/>
      <c r="AB390" s="63"/>
      <c r="AC390" s="63"/>
    </row>
    <row r="391" spans="1:29" ht="15.75">
      <c r="A391" s="59"/>
      <c r="B391" s="61"/>
      <c r="C391" s="62"/>
      <c r="D391" s="62"/>
      <c r="E391" s="62"/>
      <c r="F391" s="62"/>
      <c r="G391" s="63"/>
      <c r="H391" s="63"/>
      <c r="I391" s="63"/>
      <c r="J391" s="63"/>
      <c r="K391" s="63"/>
      <c r="L391" s="63"/>
      <c r="M391" s="63"/>
      <c r="N391" s="63"/>
      <c r="O391" s="63"/>
      <c r="P391" s="63"/>
      <c r="Q391" s="63"/>
      <c r="R391" s="63"/>
      <c r="S391" s="63"/>
      <c r="T391" s="63"/>
      <c r="U391" s="63"/>
      <c r="V391" s="63"/>
      <c r="W391" s="63"/>
      <c r="X391" s="63"/>
      <c r="Y391" s="63"/>
      <c r="Z391" s="63"/>
      <c r="AA391" s="63"/>
      <c r="AB391" s="63"/>
      <c r="AC391" s="63"/>
    </row>
    <row r="392" spans="1:29" ht="15.75">
      <c r="A392" s="59"/>
      <c r="B392" s="61"/>
      <c r="C392" s="62"/>
      <c r="D392" s="62"/>
      <c r="E392" s="62"/>
      <c r="F392" s="62"/>
      <c r="G392" s="63"/>
      <c r="H392" s="63"/>
      <c r="I392" s="63"/>
      <c r="J392" s="63"/>
      <c r="K392" s="63"/>
      <c r="L392" s="63"/>
      <c r="M392" s="63"/>
      <c r="N392" s="63"/>
      <c r="O392" s="63"/>
      <c r="P392" s="63"/>
      <c r="Q392" s="63"/>
      <c r="R392" s="63"/>
      <c r="S392" s="63"/>
      <c r="T392" s="63"/>
      <c r="U392" s="63"/>
      <c r="V392" s="63"/>
      <c r="W392" s="63"/>
      <c r="X392" s="63"/>
      <c r="Y392" s="63"/>
      <c r="Z392" s="63"/>
      <c r="AA392" s="63"/>
      <c r="AB392" s="63"/>
      <c r="AC392" s="63"/>
    </row>
    <row r="393" spans="1:29" ht="15.75">
      <c r="A393" s="59"/>
      <c r="B393" s="61"/>
      <c r="C393" s="62"/>
      <c r="D393" s="62"/>
      <c r="E393" s="62"/>
      <c r="F393" s="62"/>
      <c r="G393" s="63"/>
      <c r="H393" s="63"/>
      <c r="I393" s="63"/>
      <c r="J393" s="63"/>
      <c r="K393" s="63"/>
      <c r="L393" s="63"/>
      <c r="M393" s="63"/>
      <c r="N393" s="63"/>
      <c r="O393" s="63"/>
      <c r="P393" s="63"/>
      <c r="Q393" s="63"/>
      <c r="R393" s="63"/>
      <c r="S393" s="63"/>
      <c r="T393" s="63"/>
      <c r="U393" s="63"/>
      <c r="V393" s="63"/>
      <c r="W393" s="63"/>
      <c r="X393" s="63"/>
      <c r="Y393" s="63"/>
      <c r="Z393" s="63"/>
      <c r="AA393" s="63"/>
      <c r="AB393" s="63"/>
      <c r="AC393" s="63"/>
    </row>
    <row r="394" spans="1:29" ht="15.75">
      <c r="A394" s="59"/>
      <c r="B394" s="61"/>
      <c r="C394" s="62"/>
      <c r="D394" s="62"/>
      <c r="E394" s="62"/>
      <c r="F394" s="62"/>
      <c r="G394" s="63"/>
      <c r="H394" s="63"/>
      <c r="I394" s="63"/>
      <c r="J394" s="63"/>
      <c r="K394" s="63"/>
      <c r="L394" s="63"/>
      <c r="M394" s="63"/>
      <c r="N394" s="63"/>
      <c r="O394" s="63"/>
      <c r="P394" s="63"/>
      <c r="Q394" s="63"/>
      <c r="R394" s="63"/>
      <c r="S394" s="63"/>
      <c r="T394" s="63"/>
      <c r="U394" s="63"/>
      <c r="V394" s="63"/>
      <c r="W394" s="63"/>
      <c r="X394" s="63"/>
      <c r="Y394" s="63"/>
      <c r="Z394" s="63"/>
      <c r="AA394" s="63"/>
      <c r="AB394" s="63"/>
      <c r="AC394" s="63"/>
    </row>
    <row r="395" spans="1:29" ht="15.75">
      <c r="A395" s="59"/>
      <c r="B395" s="61"/>
      <c r="C395" s="62"/>
      <c r="D395" s="62"/>
      <c r="E395" s="62"/>
      <c r="F395" s="62"/>
      <c r="G395" s="63"/>
      <c r="H395" s="63"/>
      <c r="I395" s="63"/>
      <c r="J395" s="63"/>
      <c r="K395" s="63"/>
      <c r="L395" s="63"/>
      <c r="M395" s="63"/>
      <c r="N395" s="63"/>
      <c r="O395" s="63"/>
      <c r="P395" s="63"/>
      <c r="Q395" s="63"/>
      <c r="R395" s="63"/>
      <c r="S395" s="63"/>
      <c r="T395" s="63"/>
      <c r="U395" s="63"/>
      <c r="V395" s="63"/>
      <c r="W395" s="63"/>
      <c r="X395" s="63"/>
      <c r="Y395" s="63"/>
      <c r="Z395" s="63"/>
      <c r="AA395" s="63"/>
      <c r="AB395" s="63"/>
      <c r="AC395" s="63"/>
    </row>
    <row r="396" spans="1:29" ht="15.75">
      <c r="A396" s="59"/>
      <c r="B396" s="61"/>
      <c r="C396" s="62"/>
      <c r="D396" s="62"/>
      <c r="E396" s="62"/>
      <c r="F396" s="62"/>
      <c r="G396" s="63"/>
      <c r="H396" s="63"/>
      <c r="I396" s="63"/>
      <c r="J396" s="63"/>
      <c r="K396" s="63"/>
      <c r="L396" s="63"/>
      <c r="M396" s="63"/>
      <c r="N396" s="63"/>
      <c r="O396" s="63"/>
      <c r="P396" s="63"/>
      <c r="Q396" s="63"/>
      <c r="R396" s="63"/>
      <c r="S396" s="63"/>
      <c r="T396" s="63"/>
      <c r="U396" s="63"/>
      <c r="V396" s="63"/>
      <c r="W396" s="63"/>
      <c r="X396" s="63"/>
      <c r="Y396" s="63"/>
      <c r="Z396" s="63"/>
      <c r="AA396" s="63"/>
      <c r="AB396" s="63"/>
      <c r="AC396" s="63"/>
    </row>
    <row r="397" spans="1:29" ht="15.75">
      <c r="A397" s="59"/>
      <c r="B397" s="61"/>
      <c r="C397" s="62"/>
      <c r="D397" s="62"/>
      <c r="E397" s="62"/>
      <c r="F397" s="62"/>
      <c r="G397" s="63"/>
      <c r="H397" s="63"/>
      <c r="I397" s="63"/>
      <c r="J397" s="63"/>
      <c r="K397" s="63"/>
      <c r="L397" s="63"/>
      <c r="M397" s="63"/>
      <c r="N397" s="63"/>
      <c r="O397" s="63"/>
      <c r="P397" s="63"/>
      <c r="Q397" s="63"/>
      <c r="R397" s="63"/>
      <c r="S397" s="63"/>
      <c r="T397" s="63"/>
      <c r="U397" s="63"/>
      <c r="V397" s="63"/>
      <c r="W397" s="63"/>
      <c r="X397" s="63"/>
      <c r="Y397" s="63"/>
      <c r="Z397" s="63"/>
      <c r="AA397" s="63"/>
      <c r="AB397" s="63"/>
      <c r="AC397" s="63"/>
    </row>
    <row r="398" spans="1:29" ht="15.75">
      <c r="A398" s="59"/>
      <c r="B398" s="61"/>
      <c r="C398" s="62"/>
      <c r="D398" s="62"/>
      <c r="E398" s="62"/>
      <c r="F398" s="62"/>
      <c r="G398" s="63"/>
      <c r="H398" s="63"/>
      <c r="I398" s="63"/>
      <c r="J398" s="63"/>
      <c r="K398" s="63"/>
      <c r="L398" s="63"/>
      <c r="M398" s="63"/>
      <c r="N398" s="63"/>
      <c r="O398" s="63"/>
      <c r="P398" s="63"/>
      <c r="Q398" s="63"/>
      <c r="R398" s="63"/>
      <c r="S398" s="63"/>
      <c r="T398" s="63"/>
      <c r="U398" s="63"/>
      <c r="V398" s="63"/>
      <c r="W398" s="63"/>
      <c r="X398" s="63"/>
      <c r="Y398" s="63"/>
      <c r="Z398" s="63"/>
      <c r="AA398" s="63"/>
      <c r="AB398" s="63"/>
      <c r="AC398" s="63"/>
    </row>
  </sheetData>
  <sheetProtection/>
  <mergeCells count="72">
    <mergeCell ref="Z5:AA5"/>
    <mergeCell ref="A2:AD2"/>
    <mergeCell ref="AA3:AD3"/>
    <mergeCell ref="T4:W4"/>
    <mergeCell ref="X4:AA4"/>
    <mergeCell ref="AD4:AD7"/>
    <mergeCell ref="F4:H5"/>
    <mergeCell ref="R4:S5"/>
    <mergeCell ref="AB4:AC5"/>
    <mergeCell ref="AB6:AB7"/>
    <mergeCell ref="AC6:AC7"/>
    <mergeCell ref="X6:X7"/>
    <mergeCell ref="Y6:Y7"/>
    <mergeCell ref="Z6:Z7"/>
    <mergeCell ref="I4:K5"/>
    <mergeCell ref="L4:M5"/>
    <mergeCell ref="V5:W5"/>
    <mergeCell ref="X5:Y5"/>
    <mergeCell ref="N4:O5"/>
    <mergeCell ref="P4:Q5"/>
    <mergeCell ref="T5:U5"/>
    <mergeCell ref="B31:S31"/>
    <mergeCell ref="B32:S32"/>
    <mergeCell ref="J6:J7"/>
    <mergeCell ref="K6:K7"/>
    <mergeCell ref="L6:L7"/>
    <mergeCell ref="M6:M7"/>
    <mergeCell ref="N6:N7"/>
    <mergeCell ref="O6:O7"/>
    <mergeCell ref="R6:R7"/>
    <mergeCell ref="B37:S37"/>
    <mergeCell ref="B38:S38"/>
    <mergeCell ref="B39:S39"/>
    <mergeCell ref="B40:S40"/>
    <mergeCell ref="B33:S33"/>
    <mergeCell ref="B34:S34"/>
    <mergeCell ref="B35:S35"/>
    <mergeCell ref="B36:S36"/>
    <mergeCell ref="B53:S53"/>
    <mergeCell ref="B55:S55"/>
    <mergeCell ref="B57:S57"/>
    <mergeCell ref="B61:AC61"/>
    <mergeCell ref="B49:S49"/>
    <mergeCell ref="B50:S50"/>
    <mergeCell ref="B51:S51"/>
    <mergeCell ref="B52:S52"/>
    <mergeCell ref="B45:S45"/>
    <mergeCell ref="B46:S46"/>
    <mergeCell ref="B47:S47"/>
    <mergeCell ref="B48:S48"/>
    <mergeCell ref="B41:S41"/>
    <mergeCell ref="B42:S42"/>
    <mergeCell ref="B43:S43"/>
    <mergeCell ref="B44:S44"/>
    <mergeCell ref="AA6:AA7"/>
    <mergeCell ref="B62:AC62"/>
    <mergeCell ref="A4:A7"/>
    <mergeCell ref="B4:B7"/>
    <mergeCell ref="C4:C7"/>
    <mergeCell ref="D4:D7"/>
    <mergeCell ref="E4:E7"/>
    <mergeCell ref="F6:F7"/>
    <mergeCell ref="G6:G7"/>
    <mergeCell ref="H6:H7"/>
    <mergeCell ref="I6:I7"/>
    <mergeCell ref="T6:T7"/>
    <mergeCell ref="U6:U7"/>
    <mergeCell ref="V6:V7"/>
    <mergeCell ref="W6:W7"/>
    <mergeCell ref="P6:P7"/>
    <mergeCell ref="S6:S7"/>
    <mergeCell ref="Q6:Q7"/>
  </mergeCells>
  <printOptions horizontalCentered="1"/>
  <pageMargins left="0.235416666666667" right="0.235416666666667" top="0.747916666666667" bottom="0.747916666666667" header="0.313888888888889" footer="0.313888888888889"/>
  <pageSetup fitToHeight="0" fitToWidth="1" horizontalDpi="600" verticalDpi="600" orientation="landscape" paperSize="9" scale="70" r:id="rId1"/>
  <headerFooter alignWithMargins="0">
    <oddFooter>&amp;C&amp;P</oddFooter>
  </headerFooter>
</worksheet>
</file>

<file path=xl/worksheets/sheet18.xml><?xml version="1.0" encoding="utf-8"?>
<worksheet xmlns="http://schemas.openxmlformats.org/spreadsheetml/2006/main" xmlns:r="http://schemas.openxmlformats.org/officeDocument/2006/relationships">
  <sheetPr>
    <pageSetUpPr fitToPage="1"/>
  </sheetPr>
  <dimension ref="A1:I27"/>
  <sheetViews>
    <sheetView zoomScalePageLayoutView="0" workbookViewId="0" topLeftCell="A1">
      <selection activeCell="C21" sqref="C21"/>
    </sheetView>
  </sheetViews>
  <sheetFormatPr defaultColWidth="9.00390625" defaultRowHeight="15.75"/>
  <cols>
    <col min="1" max="1" width="4.375" style="18" customWidth="1"/>
    <col min="2" max="2" width="22.00390625" style="18" customWidth="1"/>
    <col min="3" max="3" width="11.25390625" style="18" customWidth="1"/>
    <col min="4" max="4" width="16.00390625" style="18" customWidth="1"/>
    <col min="5" max="5" width="18.875" style="18" customWidth="1"/>
    <col min="6" max="6" width="23.875" style="18" customWidth="1"/>
    <col min="7" max="7" width="15.50390625" style="18" customWidth="1"/>
    <col min="8" max="8" width="13.875" style="18" customWidth="1"/>
    <col min="9" max="9" width="14.25390625" style="18" customWidth="1"/>
    <col min="10" max="16384" width="9.00390625" style="18" customWidth="1"/>
  </cols>
  <sheetData>
    <row r="1" spans="1:9" ht="15.75">
      <c r="A1" s="19" t="s">
        <v>396</v>
      </c>
      <c r="I1" s="24" t="s">
        <v>397</v>
      </c>
    </row>
    <row r="3" spans="1:9" ht="15.75">
      <c r="A3" s="1442" t="s">
        <v>398</v>
      </c>
      <c r="B3" s="1442"/>
      <c r="C3" s="1442"/>
      <c r="D3" s="1442"/>
      <c r="E3" s="1442"/>
      <c r="F3" s="1442"/>
      <c r="G3" s="1442"/>
      <c r="H3" s="1442"/>
      <c r="I3" s="1442"/>
    </row>
    <row r="5" spans="1:9" ht="15.75">
      <c r="A5" s="1443" t="s">
        <v>282</v>
      </c>
      <c r="B5" s="1443"/>
      <c r="C5" s="1443"/>
      <c r="D5" s="1443"/>
      <c r="E5" s="1443"/>
      <c r="F5" s="1443"/>
      <c r="G5" s="1443"/>
      <c r="H5" s="1443"/>
      <c r="I5" s="1443"/>
    </row>
    <row r="7" spans="1:9" ht="15.75">
      <c r="A7" s="1445" t="s">
        <v>399</v>
      </c>
      <c r="B7" s="1445" t="s">
        <v>400</v>
      </c>
      <c r="C7" s="1446" t="s">
        <v>401</v>
      </c>
      <c r="D7" s="1446" t="s">
        <v>402</v>
      </c>
      <c r="E7" s="1444" t="s">
        <v>403</v>
      </c>
      <c r="F7" s="1444"/>
      <c r="G7" s="1446" t="s">
        <v>404</v>
      </c>
      <c r="H7" s="1446" t="s">
        <v>405</v>
      </c>
      <c r="I7" s="1445" t="s">
        <v>406</v>
      </c>
    </row>
    <row r="8" spans="1:9" ht="72.75" customHeight="1">
      <c r="A8" s="1445"/>
      <c r="B8" s="1445"/>
      <c r="C8" s="1445"/>
      <c r="D8" s="1445"/>
      <c r="E8" s="20" t="s">
        <v>407</v>
      </c>
      <c r="F8" s="20" t="s">
        <v>408</v>
      </c>
      <c r="G8" s="1445"/>
      <c r="H8" s="1445"/>
      <c r="I8" s="1445"/>
    </row>
    <row r="9" spans="1:9" ht="15.75">
      <c r="A9" s="21">
        <v>1</v>
      </c>
      <c r="B9" s="21">
        <v>2</v>
      </c>
      <c r="C9" s="21">
        <v>3</v>
      </c>
      <c r="D9" s="21">
        <v>4</v>
      </c>
      <c r="E9" s="21">
        <v>5</v>
      </c>
      <c r="F9" s="21">
        <v>6</v>
      </c>
      <c r="G9" s="21">
        <v>7</v>
      </c>
      <c r="H9" s="21" t="s">
        <v>409</v>
      </c>
      <c r="I9" s="21">
        <v>9</v>
      </c>
    </row>
    <row r="10" spans="1:9" ht="21" customHeight="1">
      <c r="A10" s="22"/>
      <c r="B10" s="23" t="s">
        <v>410</v>
      </c>
      <c r="C10" s="22"/>
      <c r="D10" s="22"/>
      <c r="E10" s="22"/>
      <c r="F10" s="22"/>
      <c r="G10" s="22"/>
      <c r="H10" s="22"/>
      <c r="I10" s="22"/>
    </row>
    <row r="11" spans="1:9" ht="21.75" customHeight="1">
      <c r="A11" s="22"/>
      <c r="B11" s="22" t="s">
        <v>411</v>
      </c>
      <c r="C11" s="22"/>
      <c r="D11" s="22"/>
      <c r="E11" s="22"/>
      <c r="F11" s="22"/>
      <c r="G11" s="22"/>
      <c r="H11" s="22"/>
      <c r="I11" s="22"/>
    </row>
    <row r="12" spans="1:9" ht="15.75">
      <c r="A12" s="22"/>
      <c r="B12" s="22"/>
      <c r="C12" s="22"/>
      <c r="D12" s="22"/>
      <c r="E12" s="22"/>
      <c r="F12" s="22"/>
      <c r="G12" s="22"/>
      <c r="H12" s="22"/>
      <c r="I12" s="22"/>
    </row>
    <row r="13" spans="1:9" ht="15.75">
      <c r="A13" s="22"/>
      <c r="B13" s="22"/>
      <c r="C13" s="22"/>
      <c r="D13" s="22"/>
      <c r="E13" s="22"/>
      <c r="F13" s="22"/>
      <c r="G13" s="22"/>
      <c r="H13" s="22"/>
      <c r="I13" s="22"/>
    </row>
    <row r="14" spans="1:9" ht="15.75">
      <c r="A14" s="22"/>
      <c r="B14" s="22"/>
      <c r="C14" s="22"/>
      <c r="D14" s="22"/>
      <c r="E14" s="22"/>
      <c r="F14" s="22"/>
      <c r="G14" s="22"/>
      <c r="H14" s="22"/>
      <c r="I14" s="22"/>
    </row>
    <row r="15" spans="1:9" ht="15.75">
      <c r="A15" s="22"/>
      <c r="B15" s="22"/>
      <c r="C15" s="22"/>
      <c r="D15" s="22"/>
      <c r="E15" s="22"/>
      <c r="F15" s="22"/>
      <c r="G15" s="22"/>
      <c r="H15" s="22"/>
      <c r="I15" s="22"/>
    </row>
    <row r="16" spans="1:9" ht="15.75">
      <c r="A16" s="22"/>
      <c r="B16" s="22"/>
      <c r="C16" s="22"/>
      <c r="D16" s="22"/>
      <c r="E16" s="22"/>
      <c r="F16" s="22"/>
      <c r="G16" s="22"/>
      <c r="H16" s="22"/>
      <c r="I16" s="22"/>
    </row>
    <row r="17" spans="1:9" ht="15.75">
      <c r="A17" s="22"/>
      <c r="B17" s="22"/>
      <c r="C17" s="22"/>
      <c r="D17" s="22"/>
      <c r="E17" s="22"/>
      <c r="F17" s="22"/>
      <c r="G17" s="22"/>
      <c r="H17" s="22"/>
      <c r="I17" s="22"/>
    </row>
    <row r="18" spans="1:9" ht="15.75">
      <c r="A18" s="22"/>
      <c r="B18" s="22"/>
      <c r="C18" s="22"/>
      <c r="D18" s="22"/>
      <c r="E18" s="22"/>
      <c r="F18" s="22"/>
      <c r="G18" s="22"/>
      <c r="H18" s="22"/>
      <c r="I18" s="22"/>
    </row>
    <row r="19" spans="1:9" ht="15.75">
      <c r="A19" s="22"/>
      <c r="B19" s="22"/>
      <c r="C19" s="22"/>
      <c r="D19" s="22"/>
      <c r="E19" s="22"/>
      <c r="F19" s="22"/>
      <c r="G19" s="22"/>
      <c r="H19" s="22"/>
      <c r="I19" s="22"/>
    </row>
    <row r="20" spans="1:9" ht="15.75">
      <c r="A20" s="22"/>
      <c r="B20" s="22"/>
      <c r="C20" s="22"/>
      <c r="D20" s="22"/>
      <c r="E20" s="22"/>
      <c r="F20" s="22"/>
      <c r="G20" s="22"/>
      <c r="H20" s="22"/>
      <c r="I20" s="22"/>
    </row>
    <row r="21" spans="1:9" ht="15.75">
      <c r="A21" s="22"/>
      <c r="B21" s="22"/>
      <c r="C21" s="22"/>
      <c r="D21" s="22"/>
      <c r="E21" s="22"/>
      <c r="F21" s="22"/>
      <c r="G21" s="22"/>
      <c r="H21" s="22"/>
      <c r="I21" s="22"/>
    </row>
    <row r="22" spans="1:9" ht="15.75">
      <c r="A22" s="22"/>
      <c r="B22" s="22"/>
      <c r="C22" s="22"/>
      <c r="D22" s="22"/>
      <c r="E22" s="22"/>
      <c r="F22" s="22"/>
      <c r="G22" s="22"/>
      <c r="H22" s="22"/>
      <c r="I22" s="22"/>
    </row>
    <row r="23" spans="1:9" ht="15.75">
      <c r="A23" s="22"/>
      <c r="B23" s="22"/>
      <c r="C23" s="22"/>
      <c r="D23" s="22"/>
      <c r="E23" s="22"/>
      <c r="F23" s="22"/>
      <c r="G23" s="22"/>
      <c r="H23" s="22"/>
      <c r="I23" s="22"/>
    </row>
    <row r="24" spans="1:9" ht="15.75">
      <c r="A24" s="22"/>
      <c r="B24" s="22"/>
      <c r="C24" s="22"/>
      <c r="D24" s="22"/>
      <c r="E24" s="22"/>
      <c r="F24" s="22"/>
      <c r="G24" s="22"/>
      <c r="H24" s="22"/>
      <c r="I24" s="22"/>
    </row>
    <row r="25" spans="1:9" ht="15.75">
      <c r="A25" s="22"/>
      <c r="B25" s="22"/>
      <c r="C25" s="22"/>
      <c r="D25" s="22"/>
      <c r="E25" s="22"/>
      <c r="F25" s="22"/>
      <c r="G25" s="22"/>
      <c r="H25" s="22"/>
      <c r="I25" s="22"/>
    </row>
    <row r="26" spans="1:9" ht="15.75">
      <c r="A26" s="22"/>
      <c r="B26" s="22"/>
      <c r="C26" s="22"/>
      <c r="D26" s="22"/>
      <c r="E26" s="22"/>
      <c r="F26" s="22"/>
      <c r="G26" s="22"/>
      <c r="H26" s="22"/>
      <c r="I26" s="22"/>
    </row>
    <row r="27" spans="1:9" ht="15.75">
      <c r="A27" s="22"/>
      <c r="B27" s="22"/>
      <c r="C27" s="22"/>
      <c r="D27" s="22"/>
      <c r="E27" s="22"/>
      <c r="F27" s="22"/>
      <c r="G27" s="22"/>
      <c r="H27" s="22"/>
      <c r="I27" s="22"/>
    </row>
  </sheetData>
  <sheetProtection/>
  <mergeCells count="10">
    <mergeCell ref="A3:I3"/>
    <mergeCell ref="A5:I5"/>
    <mergeCell ref="E7:F7"/>
    <mergeCell ref="A7:A8"/>
    <mergeCell ref="B7:B8"/>
    <mergeCell ref="C7:C8"/>
    <mergeCell ref="D7:D8"/>
    <mergeCell ref="G7:G8"/>
    <mergeCell ref="H7:H8"/>
    <mergeCell ref="I7:I8"/>
  </mergeCells>
  <printOptions horizontalCentered="1"/>
  <pageMargins left="0.235416666666667" right="0.235416666666667" top="0.747916666666667" bottom="0.747916666666667" header="0.313888888888889" footer="0.313888888888889"/>
  <pageSetup firstPageNumber="1" useFirstPageNumber="1" fitToHeight="0" fitToWidth="1" horizontalDpi="600" verticalDpi="600" orientation="landscape" paperSize="9" scale="96" r:id="rId1"/>
</worksheet>
</file>

<file path=xl/worksheets/sheet19.xml><?xml version="1.0" encoding="utf-8"?>
<worksheet xmlns="http://schemas.openxmlformats.org/spreadsheetml/2006/main" xmlns:r="http://schemas.openxmlformats.org/officeDocument/2006/relationships">
  <sheetPr>
    <pageSetUpPr fitToPage="1"/>
  </sheetPr>
  <dimension ref="A1:O27"/>
  <sheetViews>
    <sheetView zoomScale="85" zoomScaleNormal="85" zoomScalePageLayoutView="0" workbookViewId="0" topLeftCell="A1">
      <selection activeCell="C21" sqref="C21"/>
    </sheetView>
  </sheetViews>
  <sheetFormatPr defaultColWidth="9.00390625" defaultRowHeight="15.75"/>
  <cols>
    <col min="1" max="1" width="3.625" style="6" customWidth="1"/>
    <col min="2" max="2" width="24.375" style="6" customWidth="1"/>
    <col min="3" max="3" width="8.75390625" style="6" customWidth="1"/>
    <col min="4" max="4" width="8.50390625" style="6" customWidth="1"/>
    <col min="5" max="5" width="9.375" style="6" customWidth="1"/>
    <col min="6" max="8" width="14.50390625" style="6" customWidth="1"/>
    <col min="9" max="9" width="10.375" style="6" customWidth="1"/>
    <col min="10" max="11" width="10.75390625" style="6" customWidth="1"/>
    <col min="12" max="12" width="11.875" style="6" customWidth="1"/>
    <col min="13" max="13" width="9.50390625" style="6" customWidth="1"/>
    <col min="14" max="14" width="12.625" style="6" customWidth="1"/>
    <col min="15" max="16384" width="9.00390625" style="6" customWidth="1"/>
  </cols>
  <sheetData>
    <row r="1" spans="1:15" ht="15.75">
      <c r="A1" s="4" t="s">
        <v>412</v>
      </c>
      <c r="B1" s="4"/>
      <c r="C1" s="4"/>
      <c r="D1" s="4"/>
      <c r="E1" s="4"/>
      <c r="F1" s="4"/>
      <c r="G1" s="4"/>
      <c r="H1" s="4"/>
      <c r="I1" s="4"/>
      <c r="J1" s="4"/>
      <c r="K1" s="4"/>
      <c r="L1" s="4"/>
      <c r="M1" s="1451" t="s">
        <v>0</v>
      </c>
      <c r="N1" s="1451"/>
      <c r="O1" s="1451"/>
    </row>
    <row r="3" spans="1:15" ht="24" customHeight="1">
      <c r="A3" s="1452" t="s">
        <v>413</v>
      </c>
      <c r="B3" s="1452"/>
      <c r="C3" s="1452"/>
      <c r="D3" s="1452"/>
      <c r="E3" s="1452"/>
      <c r="F3" s="1452"/>
      <c r="G3" s="1452"/>
      <c r="H3" s="1452"/>
      <c r="I3" s="1452"/>
      <c r="J3" s="1452"/>
      <c r="K3" s="1452"/>
      <c r="L3" s="1452"/>
      <c r="M3" s="1452"/>
      <c r="N3" s="1452"/>
      <c r="O3" s="1452"/>
    </row>
    <row r="4" spans="1:15" ht="15.75">
      <c r="A4" s="1452"/>
      <c r="B4" s="1452"/>
      <c r="C4" s="1452"/>
      <c r="D4" s="1452"/>
      <c r="E4" s="1452"/>
      <c r="F4" s="1452"/>
      <c r="G4" s="1452"/>
      <c r="H4" s="1452"/>
      <c r="I4" s="1452"/>
      <c r="J4" s="1452"/>
      <c r="K4" s="1452"/>
      <c r="L4" s="1452"/>
      <c r="M4" s="1452"/>
      <c r="N4" s="1453" t="s">
        <v>282</v>
      </c>
      <c r="O4" s="1453"/>
    </row>
    <row r="5" spans="1:15" s="2" customFormat="1" ht="28.5" customHeight="1">
      <c r="A5" s="1447" t="s">
        <v>2</v>
      </c>
      <c r="B5" s="1447"/>
      <c r="C5" s="1447" t="s">
        <v>414</v>
      </c>
      <c r="D5" s="1447" t="s">
        <v>415</v>
      </c>
      <c r="E5" s="1447" t="s">
        <v>286</v>
      </c>
      <c r="F5" s="1426" t="s">
        <v>287</v>
      </c>
      <c r="G5" s="1426"/>
      <c r="H5" s="1426"/>
      <c r="I5" s="1448" t="s">
        <v>416</v>
      </c>
      <c r="J5" s="1447" t="s">
        <v>417</v>
      </c>
      <c r="K5" s="1447" t="s">
        <v>418</v>
      </c>
      <c r="L5" s="1447" t="s">
        <v>419</v>
      </c>
      <c r="M5" s="1447" t="s">
        <v>420</v>
      </c>
      <c r="N5" s="1447" t="s">
        <v>421</v>
      </c>
      <c r="O5" s="1447" t="s">
        <v>296</v>
      </c>
    </row>
    <row r="6" spans="1:15" s="3" customFormat="1" ht="28.5" customHeight="1">
      <c r="A6" s="1447"/>
      <c r="B6" s="1447"/>
      <c r="C6" s="1447"/>
      <c r="D6" s="1447"/>
      <c r="E6" s="1447"/>
      <c r="F6" s="1426" t="s">
        <v>297</v>
      </c>
      <c r="G6" s="1426" t="s">
        <v>298</v>
      </c>
      <c r="H6" s="1426"/>
      <c r="I6" s="1449"/>
      <c r="J6" s="1447"/>
      <c r="K6" s="1447"/>
      <c r="L6" s="1447"/>
      <c r="M6" s="1447"/>
      <c r="N6" s="1447"/>
      <c r="O6" s="1447"/>
    </row>
    <row r="7" spans="1:15" s="3" customFormat="1" ht="54.75" customHeight="1">
      <c r="A7" s="1447"/>
      <c r="B7" s="1447"/>
      <c r="C7" s="1447"/>
      <c r="D7" s="1447"/>
      <c r="E7" s="1447"/>
      <c r="F7" s="1426"/>
      <c r="G7" s="8" t="s">
        <v>299</v>
      </c>
      <c r="H7" s="8" t="s">
        <v>302</v>
      </c>
      <c r="I7" s="1450"/>
      <c r="J7" s="1447"/>
      <c r="K7" s="1447"/>
      <c r="L7" s="1447"/>
      <c r="M7" s="1447"/>
      <c r="N7" s="1447"/>
      <c r="O7" s="1447"/>
    </row>
    <row r="8" spans="1:15" s="4" customFormat="1" ht="18" customHeight="1">
      <c r="A8" s="9"/>
      <c r="B8" s="10" t="s">
        <v>305</v>
      </c>
      <c r="C8" s="9"/>
      <c r="D8" s="9"/>
      <c r="E8" s="9"/>
      <c r="F8" s="9"/>
      <c r="G8" s="9"/>
      <c r="H8" s="9"/>
      <c r="I8" s="9"/>
      <c r="J8" s="9"/>
      <c r="K8" s="9"/>
      <c r="L8" s="9"/>
      <c r="M8" s="9"/>
      <c r="N8" s="9"/>
      <c r="O8" s="9"/>
    </row>
    <row r="9" spans="1:15" ht="47.25">
      <c r="A9" s="10" t="s">
        <v>107</v>
      </c>
      <c r="B9" s="11" t="s">
        <v>422</v>
      </c>
      <c r="C9" s="12"/>
      <c r="D9" s="12"/>
      <c r="E9" s="12"/>
      <c r="F9" s="12"/>
      <c r="G9" s="12"/>
      <c r="H9" s="12"/>
      <c r="I9" s="12"/>
      <c r="J9" s="12"/>
      <c r="K9" s="12"/>
      <c r="L9" s="12"/>
      <c r="M9" s="12"/>
      <c r="N9" s="12"/>
      <c r="O9" s="12"/>
    </row>
    <row r="10" spans="1:15" ht="18" customHeight="1">
      <c r="A10" s="10" t="s">
        <v>48</v>
      </c>
      <c r="B10" s="160" t="s">
        <v>423</v>
      </c>
      <c r="C10" s="12"/>
      <c r="D10" s="12"/>
      <c r="E10" s="12"/>
      <c r="F10" s="12"/>
      <c r="G10" s="12"/>
      <c r="H10" s="12"/>
      <c r="I10" s="12"/>
      <c r="J10" s="12"/>
      <c r="K10" s="12"/>
      <c r="L10" s="12"/>
      <c r="M10" s="12"/>
      <c r="N10" s="12"/>
      <c r="O10" s="12"/>
    </row>
    <row r="11" spans="1:15" ht="18" customHeight="1">
      <c r="A11" s="10"/>
      <c r="B11" s="161" t="s">
        <v>424</v>
      </c>
      <c r="C11" s="12"/>
      <c r="D11" s="12"/>
      <c r="E11" s="12"/>
      <c r="F11" s="12"/>
      <c r="G11" s="12"/>
      <c r="H11" s="12"/>
      <c r="I11" s="12"/>
      <c r="J11" s="12"/>
      <c r="K11" s="12"/>
      <c r="L11" s="12"/>
      <c r="M11" s="12"/>
      <c r="N11" s="12"/>
      <c r="O11" s="12"/>
    </row>
    <row r="12" spans="1:15" ht="18" customHeight="1">
      <c r="A12" s="15">
        <v>1</v>
      </c>
      <c r="B12" s="162" t="s">
        <v>425</v>
      </c>
      <c r="C12" s="12"/>
      <c r="D12" s="12"/>
      <c r="E12" s="12"/>
      <c r="F12" s="12"/>
      <c r="G12" s="12"/>
      <c r="H12" s="12"/>
      <c r="I12" s="12"/>
      <c r="J12" s="12"/>
      <c r="K12" s="12"/>
      <c r="L12" s="12"/>
      <c r="M12" s="12"/>
      <c r="N12" s="12"/>
      <c r="O12" s="12"/>
    </row>
    <row r="13" spans="1:15" ht="18" customHeight="1">
      <c r="A13" s="15">
        <v>2</v>
      </c>
      <c r="B13" s="162" t="s">
        <v>425</v>
      </c>
      <c r="C13" s="12"/>
      <c r="D13" s="12"/>
      <c r="E13" s="12"/>
      <c r="F13" s="12"/>
      <c r="G13" s="12"/>
      <c r="H13" s="12"/>
      <c r="I13" s="12"/>
      <c r="J13" s="12"/>
      <c r="K13" s="12"/>
      <c r="L13" s="12"/>
      <c r="M13" s="12"/>
      <c r="N13" s="12"/>
      <c r="O13" s="12"/>
    </row>
    <row r="14" spans="1:15" s="5" customFormat="1" ht="18" customHeight="1">
      <c r="A14" s="16"/>
      <c r="B14" s="14" t="s">
        <v>426</v>
      </c>
      <c r="C14" s="14"/>
      <c r="D14" s="14"/>
      <c r="E14" s="14"/>
      <c r="F14" s="14"/>
      <c r="G14" s="14"/>
      <c r="H14" s="14"/>
      <c r="I14" s="14"/>
      <c r="J14" s="14"/>
      <c r="K14" s="14"/>
      <c r="L14" s="14"/>
      <c r="M14" s="14"/>
      <c r="N14" s="14"/>
      <c r="O14" s="14"/>
    </row>
    <row r="15" spans="1:15" ht="18" customHeight="1">
      <c r="A15" s="15">
        <v>1</v>
      </c>
      <c r="B15" s="162" t="s">
        <v>427</v>
      </c>
      <c r="C15" s="12"/>
      <c r="D15" s="12"/>
      <c r="E15" s="12"/>
      <c r="F15" s="12"/>
      <c r="G15" s="12"/>
      <c r="H15" s="12"/>
      <c r="I15" s="12"/>
      <c r="J15" s="12"/>
      <c r="K15" s="12"/>
      <c r="L15" s="12"/>
      <c r="M15" s="12"/>
      <c r="N15" s="12"/>
      <c r="O15" s="12"/>
    </row>
    <row r="16" spans="1:15" ht="18" customHeight="1">
      <c r="A16" s="15">
        <v>2</v>
      </c>
      <c r="B16" s="162" t="s">
        <v>427</v>
      </c>
      <c r="C16" s="12"/>
      <c r="D16" s="12"/>
      <c r="E16" s="12"/>
      <c r="F16" s="12"/>
      <c r="G16" s="12"/>
      <c r="H16" s="12"/>
      <c r="I16" s="12"/>
      <c r="J16" s="12"/>
      <c r="K16" s="12"/>
      <c r="L16" s="12"/>
      <c r="M16" s="12"/>
      <c r="N16" s="12"/>
      <c r="O16" s="12"/>
    </row>
    <row r="17" spans="1:15" s="5" customFormat="1" ht="39.75" customHeight="1">
      <c r="A17" s="10" t="s">
        <v>91</v>
      </c>
      <c r="B17" s="17" t="s">
        <v>428</v>
      </c>
      <c r="C17" s="14"/>
      <c r="D17" s="14"/>
      <c r="E17" s="14"/>
      <c r="F17" s="14"/>
      <c r="G17" s="14"/>
      <c r="H17" s="14"/>
      <c r="I17" s="14"/>
      <c r="J17" s="14"/>
      <c r="K17" s="14"/>
      <c r="L17" s="14"/>
      <c r="M17" s="14"/>
      <c r="N17" s="14"/>
      <c r="O17" s="14"/>
    </row>
    <row r="18" spans="1:15" ht="18" customHeight="1">
      <c r="A18" s="15">
        <v>1</v>
      </c>
      <c r="B18" s="162" t="s">
        <v>425</v>
      </c>
      <c r="C18" s="12"/>
      <c r="D18" s="12"/>
      <c r="E18" s="12"/>
      <c r="F18" s="12"/>
      <c r="G18" s="12"/>
      <c r="H18" s="12"/>
      <c r="I18" s="12"/>
      <c r="J18" s="12"/>
      <c r="K18" s="12"/>
      <c r="L18" s="12"/>
      <c r="M18" s="12"/>
      <c r="N18" s="12"/>
      <c r="O18" s="12"/>
    </row>
    <row r="19" spans="1:15" ht="18" customHeight="1">
      <c r="A19" s="15">
        <v>2</v>
      </c>
      <c r="B19" s="162" t="s">
        <v>425</v>
      </c>
      <c r="C19" s="12"/>
      <c r="D19" s="12"/>
      <c r="E19" s="12"/>
      <c r="F19" s="12"/>
      <c r="G19" s="12"/>
      <c r="H19" s="12"/>
      <c r="I19" s="12"/>
      <c r="J19" s="12"/>
      <c r="K19" s="12"/>
      <c r="L19" s="12"/>
      <c r="M19" s="12"/>
      <c r="N19" s="12"/>
      <c r="O19" s="12"/>
    </row>
    <row r="20" spans="1:15" ht="18" customHeight="1">
      <c r="A20" s="16"/>
      <c r="B20" s="14" t="s">
        <v>426</v>
      </c>
      <c r="C20" s="12"/>
      <c r="D20" s="12"/>
      <c r="E20" s="12"/>
      <c r="F20" s="12"/>
      <c r="G20" s="12"/>
      <c r="H20" s="12"/>
      <c r="I20" s="12"/>
      <c r="J20" s="12"/>
      <c r="K20" s="12"/>
      <c r="L20" s="12"/>
      <c r="M20" s="12"/>
      <c r="N20" s="12"/>
      <c r="O20" s="12"/>
    </row>
    <row r="21" spans="1:15" ht="18" customHeight="1">
      <c r="A21" s="15">
        <v>1</v>
      </c>
      <c r="B21" s="162" t="s">
        <v>427</v>
      </c>
      <c r="C21" s="12"/>
      <c r="D21" s="12"/>
      <c r="E21" s="12"/>
      <c r="F21" s="12"/>
      <c r="G21" s="12"/>
      <c r="H21" s="12"/>
      <c r="I21" s="12"/>
      <c r="J21" s="12"/>
      <c r="K21" s="12"/>
      <c r="L21" s="12"/>
      <c r="M21" s="12"/>
      <c r="N21" s="12"/>
      <c r="O21" s="12"/>
    </row>
    <row r="22" spans="1:15" ht="18" customHeight="1">
      <c r="A22" s="15">
        <v>2</v>
      </c>
      <c r="B22" s="162" t="s">
        <v>427</v>
      </c>
      <c r="C22" s="12"/>
      <c r="D22" s="12"/>
      <c r="E22" s="12"/>
      <c r="F22" s="12"/>
      <c r="G22" s="12"/>
      <c r="H22" s="12"/>
      <c r="I22" s="12"/>
      <c r="J22" s="12"/>
      <c r="K22" s="12"/>
      <c r="L22" s="12"/>
      <c r="M22" s="12"/>
      <c r="N22" s="12"/>
      <c r="O22" s="12"/>
    </row>
    <row r="23" spans="1:15" ht="18" customHeight="1">
      <c r="A23" s="9" t="s">
        <v>101</v>
      </c>
      <c r="B23" s="13" t="s">
        <v>429</v>
      </c>
      <c r="C23" s="12"/>
      <c r="D23" s="12"/>
      <c r="E23" s="12"/>
      <c r="F23" s="12"/>
      <c r="G23" s="12"/>
      <c r="H23" s="12"/>
      <c r="I23" s="12"/>
      <c r="J23" s="12"/>
      <c r="K23" s="12"/>
      <c r="L23" s="12"/>
      <c r="M23" s="12"/>
      <c r="N23" s="12"/>
      <c r="O23" s="12"/>
    </row>
    <row r="24" spans="1:15" ht="18" customHeight="1">
      <c r="A24" s="12"/>
      <c r="B24" s="12" t="s">
        <v>430</v>
      </c>
      <c r="C24" s="12"/>
      <c r="D24" s="12"/>
      <c r="E24" s="12"/>
      <c r="F24" s="12"/>
      <c r="G24" s="12"/>
      <c r="H24" s="12"/>
      <c r="I24" s="12"/>
      <c r="J24" s="12"/>
      <c r="K24" s="12"/>
      <c r="L24" s="12"/>
      <c r="M24" s="12"/>
      <c r="N24" s="12"/>
      <c r="O24" s="12"/>
    </row>
    <row r="25" spans="1:15" ht="63">
      <c r="A25" s="9" t="s">
        <v>117</v>
      </c>
      <c r="B25" s="11" t="s">
        <v>431</v>
      </c>
      <c r="C25" s="12"/>
      <c r="D25" s="12"/>
      <c r="E25" s="12"/>
      <c r="F25" s="12"/>
      <c r="G25" s="12"/>
      <c r="H25" s="12"/>
      <c r="I25" s="12"/>
      <c r="J25" s="12"/>
      <c r="K25" s="12"/>
      <c r="L25" s="12"/>
      <c r="M25" s="12"/>
      <c r="N25" s="12"/>
      <c r="O25" s="12"/>
    </row>
    <row r="26" spans="1:15" ht="15.75">
      <c r="A26" s="15">
        <v>1</v>
      </c>
      <c r="B26" s="162" t="s">
        <v>427</v>
      </c>
      <c r="C26" s="12"/>
      <c r="D26" s="12"/>
      <c r="E26" s="12"/>
      <c r="F26" s="12"/>
      <c r="G26" s="12"/>
      <c r="H26" s="12"/>
      <c r="I26" s="12"/>
      <c r="J26" s="12"/>
      <c r="K26" s="12"/>
      <c r="L26" s="12"/>
      <c r="M26" s="12"/>
      <c r="N26" s="12"/>
      <c r="O26" s="12"/>
    </row>
    <row r="27" spans="1:15" ht="15.75">
      <c r="A27" s="15">
        <v>2</v>
      </c>
      <c r="B27" s="162" t="s">
        <v>427</v>
      </c>
      <c r="C27" s="12"/>
      <c r="D27" s="12"/>
      <c r="E27" s="12"/>
      <c r="F27" s="12"/>
      <c r="G27" s="12"/>
      <c r="H27" s="12"/>
      <c r="I27" s="12"/>
      <c r="J27" s="12"/>
      <c r="K27" s="12"/>
      <c r="L27" s="12"/>
      <c r="M27" s="12"/>
      <c r="N27" s="12"/>
      <c r="O27" s="12"/>
    </row>
  </sheetData>
  <sheetProtection/>
  <mergeCells count="19">
    <mergeCell ref="M1:O1"/>
    <mergeCell ref="A3:O3"/>
    <mergeCell ref="A4:M4"/>
    <mergeCell ref="N4:O4"/>
    <mergeCell ref="L5:L7"/>
    <mergeCell ref="M5:M7"/>
    <mergeCell ref="N5:N7"/>
    <mergeCell ref="E5:E7"/>
    <mergeCell ref="F6:F7"/>
    <mergeCell ref="A5:A7"/>
    <mergeCell ref="O5:O7"/>
    <mergeCell ref="F5:H5"/>
    <mergeCell ref="I5:I7"/>
    <mergeCell ref="J5:J7"/>
    <mergeCell ref="K5:K7"/>
    <mergeCell ref="G6:H6"/>
    <mergeCell ref="B5:B7"/>
    <mergeCell ref="C5:C7"/>
    <mergeCell ref="D5:D7"/>
  </mergeCells>
  <printOptions horizontalCentered="1"/>
  <pageMargins left="0.235416666666667" right="0.235416666666667" top="0.747916666666667" bottom="0.747916666666667" header="0.313888888888889" footer="0.313888888888889"/>
  <pageSetup firstPageNumber="1" useFirstPageNumber="1" fitToHeight="0" fitToWidth="1" horizontalDpi="600" verticalDpi="600" orientation="landscape" paperSize="9" scale="77" r:id="rId1"/>
</worksheet>
</file>

<file path=xl/worksheets/sheet2.xml><?xml version="1.0" encoding="utf-8"?>
<worksheet xmlns="http://schemas.openxmlformats.org/spreadsheetml/2006/main" xmlns:r="http://schemas.openxmlformats.org/officeDocument/2006/relationships">
  <sheetPr>
    <tabColor rgb="FFFFFF00"/>
    <pageSetUpPr fitToPage="1"/>
  </sheetPr>
  <dimension ref="A1:N95"/>
  <sheetViews>
    <sheetView view="pageBreakPreview" zoomScale="110" zoomScaleNormal="55" zoomScaleSheetLayoutView="110" zoomScalePageLayoutView="0" workbookViewId="0" topLeftCell="A1">
      <pane xSplit="2" ySplit="9" topLeftCell="C57" activePane="bottomRight" state="frozen"/>
      <selection pane="topLeft" activeCell="F21" sqref="F21"/>
      <selection pane="topRight" activeCell="F21" sqref="F21"/>
      <selection pane="bottomLeft" activeCell="F21" sqref="F21"/>
      <selection pane="bottomRight" activeCell="B65" sqref="B65"/>
    </sheetView>
  </sheetViews>
  <sheetFormatPr defaultColWidth="9.00390625" defaultRowHeight="15.75"/>
  <cols>
    <col min="1" max="1" width="3.625" style="235" customWidth="1"/>
    <col min="2" max="2" width="37.375" style="200" customWidth="1"/>
    <col min="3" max="3" width="9.625" style="200" customWidth="1"/>
    <col min="4" max="4" width="11.00390625" style="235" customWidth="1"/>
    <col min="5" max="5" width="11.125" style="235" customWidth="1"/>
    <col min="6" max="6" width="11.00390625" style="235" hidden="1" customWidth="1"/>
    <col min="7" max="7" width="11.125" style="235" customWidth="1"/>
    <col min="8" max="9" width="11.875" style="200" customWidth="1"/>
    <col min="10" max="10" width="12.125" style="200" customWidth="1"/>
    <col min="11" max="11" width="13.625" style="200" customWidth="1"/>
    <col min="12" max="13" width="9.00390625" style="200" customWidth="1"/>
    <col min="14" max="14" width="9.25390625" style="200" bestFit="1" customWidth="1"/>
    <col min="15" max="244" width="9.00390625" style="200" customWidth="1"/>
    <col min="245" max="245" width="3.625" style="200" customWidth="1"/>
    <col min="246" max="246" width="37.375" style="200" customWidth="1"/>
    <col min="247" max="247" width="9.625" style="200" customWidth="1"/>
    <col min="248" max="248" width="11.00390625" style="200" customWidth="1"/>
    <col min="249" max="249" width="9.625" style="200" customWidth="1"/>
    <col min="250" max="250" width="10.125" style="200" customWidth="1"/>
    <col min="251" max="251" width="12.375" style="200" customWidth="1"/>
    <col min="252" max="252" width="11.875" style="200" customWidth="1"/>
    <col min="253" max="253" width="12.125" style="200" customWidth="1"/>
    <col min="254" max="254" width="13.625" style="200" customWidth="1"/>
    <col min="255" max="16384" width="9.00390625" style="200" customWidth="1"/>
  </cols>
  <sheetData>
    <row r="1" spans="2:11" ht="19.5">
      <c r="B1" s="199"/>
      <c r="C1" s="203"/>
      <c r="D1" s="325"/>
      <c r="E1" s="325"/>
      <c r="F1" s="325"/>
      <c r="G1" s="325"/>
      <c r="H1" s="203"/>
      <c r="I1" s="203"/>
      <c r="K1" s="236" t="s">
        <v>461</v>
      </c>
    </row>
    <row r="2" spans="1:11" ht="16.5">
      <c r="A2" s="1303" t="s">
        <v>47</v>
      </c>
      <c r="B2" s="1303"/>
      <c r="C2" s="1303"/>
      <c r="D2" s="1303"/>
      <c r="E2" s="1303"/>
      <c r="F2" s="1303"/>
      <c r="G2" s="1303"/>
      <c r="H2" s="1303"/>
      <c r="I2" s="1303"/>
      <c r="J2" s="1303"/>
      <c r="K2" s="1303"/>
    </row>
    <row r="3" spans="1:11" ht="20.25" customHeight="1">
      <c r="A3" s="1303" t="s">
        <v>1188</v>
      </c>
      <c r="B3" s="1303"/>
      <c r="C3" s="1303"/>
      <c r="D3" s="1303"/>
      <c r="E3" s="1303"/>
      <c r="F3" s="1303"/>
      <c r="G3" s="1303"/>
      <c r="H3" s="1303"/>
      <c r="I3" s="1303"/>
      <c r="J3" s="1303"/>
      <c r="K3" s="1303"/>
    </row>
    <row r="4" spans="1:11" ht="20.25" customHeight="1">
      <c r="A4" s="1304" t="str">
        <f>'1. Chi tieu KT'!A4:K4</f>
        <v>(Kèm theo quyết định số          /QĐ-UBND ngày      /12/2018 của UBND tỉnh Điện Biên)</v>
      </c>
      <c r="B4" s="1304"/>
      <c r="C4" s="1304"/>
      <c r="D4" s="1304"/>
      <c r="E4" s="1304"/>
      <c r="F4" s="1304"/>
      <c r="G4" s="1304"/>
      <c r="H4" s="1304"/>
      <c r="I4" s="1304"/>
      <c r="J4" s="1304"/>
      <c r="K4" s="1304"/>
    </row>
    <row r="5" spans="1:11" ht="18.75">
      <c r="A5" s="237"/>
      <c r="B5" s="237"/>
      <c r="C5" s="237"/>
      <c r="D5" s="237"/>
      <c r="E5" s="237"/>
      <c r="F5" s="237"/>
      <c r="G5" s="237"/>
      <c r="H5" s="237"/>
      <c r="I5" s="237"/>
      <c r="J5" s="237"/>
      <c r="K5" s="237"/>
    </row>
    <row r="6" spans="1:11" s="201" customFormat="1" ht="26.25" customHeight="1">
      <c r="A6" s="1305" t="s">
        <v>2</v>
      </c>
      <c r="B6" s="1305" t="s">
        <v>3</v>
      </c>
      <c r="C6" s="1305" t="s">
        <v>4</v>
      </c>
      <c r="D6" s="1305" t="s">
        <v>472</v>
      </c>
      <c r="E6" s="1306" t="s">
        <v>468</v>
      </c>
      <c r="F6" s="1307"/>
      <c r="G6" s="1307"/>
      <c r="H6" s="1307"/>
      <c r="I6" s="1308"/>
      <c r="J6" s="1305" t="s">
        <v>470</v>
      </c>
      <c r="K6" s="1305" t="s">
        <v>471</v>
      </c>
    </row>
    <row r="7" spans="1:11" s="201" customFormat="1" ht="87" customHeight="1">
      <c r="A7" s="1305"/>
      <c r="B7" s="1305"/>
      <c r="C7" s="1305"/>
      <c r="D7" s="1305"/>
      <c r="E7" s="1082" t="s">
        <v>5</v>
      </c>
      <c r="F7" s="1082" t="s">
        <v>6</v>
      </c>
      <c r="G7" s="1082" t="s">
        <v>7</v>
      </c>
      <c r="H7" s="1082" t="s">
        <v>469</v>
      </c>
      <c r="I7" s="933" t="s">
        <v>1169</v>
      </c>
      <c r="J7" s="1305"/>
      <c r="K7" s="1305"/>
    </row>
    <row r="8" spans="1:11" s="202" customFormat="1" ht="15.75">
      <c r="A8" s="1082">
        <v>1</v>
      </c>
      <c r="B8" s="1082">
        <v>2</v>
      </c>
      <c r="C8" s="1082">
        <v>3</v>
      </c>
      <c r="D8" s="1082">
        <v>4</v>
      </c>
      <c r="E8" s="1082">
        <v>5</v>
      </c>
      <c r="F8" s="1082">
        <v>6</v>
      </c>
      <c r="G8" s="1082">
        <v>6</v>
      </c>
      <c r="H8" s="933" t="s">
        <v>1170</v>
      </c>
      <c r="I8" s="933" t="s">
        <v>1171</v>
      </c>
      <c r="J8" s="1082">
        <v>9</v>
      </c>
      <c r="K8" s="1082" t="s">
        <v>476</v>
      </c>
    </row>
    <row r="9" spans="1:11" s="203" customFormat="1" ht="24.75" customHeight="1">
      <c r="A9" s="238" t="s">
        <v>48</v>
      </c>
      <c r="B9" s="239" t="s">
        <v>49</v>
      </c>
      <c r="C9" s="238"/>
      <c r="D9" s="238"/>
      <c r="E9" s="238"/>
      <c r="F9" s="238"/>
      <c r="G9" s="238"/>
      <c r="H9" s="240"/>
      <c r="I9" s="240"/>
      <c r="J9" s="240"/>
      <c r="K9" s="240"/>
    </row>
    <row r="10" spans="1:11" s="199" customFormat="1" ht="39.75" customHeight="1">
      <c r="A10" s="238">
        <v>1</v>
      </c>
      <c r="B10" s="239" t="s">
        <v>462</v>
      </c>
      <c r="C10" s="241" t="s">
        <v>11</v>
      </c>
      <c r="D10" s="323">
        <v>3635.0442169999997</v>
      </c>
      <c r="E10" s="323">
        <v>3763.33</v>
      </c>
      <c r="F10" s="323">
        <v>1792.1768299999999</v>
      </c>
      <c r="G10" s="323">
        <v>3816.12</v>
      </c>
      <c r="H10" s="323">
        <v>104.98139148220436</v>
      </c>
      <c r="I10" s="323">
        <f>G10/E10*100</f>
        <v>101.40274703520554</v>
      </c>
      <c r="J10" s="323">
        <v>3987.8454</v>
      </c>
      <c r="K10" s="205">
        <f>J10/G10*100</f>
        <v>104.50000000000001</v>
      </c>
    </row>
    <row r="11" spans="1:11" s="199" customFormat="1" ht="35.25" customHeight="1">
      <c r="A11" s="238">
        <v>2</v>
      </c>
      <c r="B11" s="239" t="s">
        <v>51</v>
      </c>
      <c r="C11" s="241"/>
      <c r="D11" s="1090"/>
      <c r="E11" s="1090"/>
      <c r="F11" s="1090"/>
      <c r="G11" s="1090"/>
      <c r="H11" s="1091"/>
      <c r="I11" s="1091"/>
      <c r="J11" s="1090"/>
      <c r="K11" s="242"/>
    </row>
    <row r="12" spans="1:11" s="198" customFormat="1" ht="24.75" customHeight="1">
      <c r="A12" s="241" t="s">
        <v>36</v>
      </c>
      <c r="B12" s="243" t="s">
        <v>52</v>
      </c>
      <c r="C12" s="241"/>
      <c r="D12" s="992"/>
      <c r="E12" s="993"/>
      <c r="F12" s="993"/>
      <c r="G12" s="994"/>
      <c r="H12" s="993"/>
      <c r="I12" s="993"/>
      <c r="J12" s="992"/>
      <c r="K12" s="244"/>
    </row>
    <row r="13" spans="1:12" s="198" customFormat="1" ht="24.75" customHeight="1">
      <c r="A13" s="245" t="s">
        <v>13</v>
      </c>
      <c r="B13" s="243" t="s">
        <v>53</v>
      </c>
      <c r="C13" s="241" t="s">
        <v>54</v>
      </c>
      <c r="D13" s="993">
        <v>35.51</v>
      </c>
      <c r="E13" s="993">
        <v>35.68</v>
      </c>
      <c r="F13" s="993">
        <v>59.17</v>
      </c>
      <c r="G13" s="993">
        <v>36.128230507798</v>
      </c>
      <c r="H13" s="993">
        <f>G13/D13*100</f>
        <v>101.74100396451142</v>
      </c>
      <c r="I13" s="266">
        <f>+G13/E13*100</f>
        <v>101.25625142320067</v>
      </c>
      <c r="J13" s="1270">
        <f>'[5]2.1 - NN '!G12*10/('[5]2.1 - NN '!G16+'[5]2.1 - NN '!G20+'[5]2.1 - NN '!G24)</f>
        <v>36.272918184002016</v>
      </c>
      <c r="K13" s="246">
        <f>J13*100/G13</f>
        <v>100.40048370531954</v>
      </c>
      <c r="L13" s="198" t="s">
        <v>650</v>
      </c>
    </row>
    <row r="14" spans="1:12" s="198" customFormat="1" ht="24.75" customHeight="1">
      <c r="A14" s="245" t="s">
        <v>13</v>
      </c>
      <c r="B14" s="243" t="s">
        <v>55</v>
      </c>
      <c r="C14" s="241" t="s">
        <v>56</v>
      </c>
      <c r="D14" s="995">
        <f>'[1]2.1 - NN '!D11/1000000</f>
        <v>0.178116</v>
      </c>
      <c r="E14" s="995">
        <v>0.179</v>
      </c>
      <c r="F14" s="995">
        <v>0.055207</v>
      </c>
      <c r="G14" s="995">
        <f>'[1]2.1 - NN '!F11/1000000</f>
        <v>0.18534935</v>
      </c>
      <c r="H14" s="993">
        <f>G14/D14*100</f>
        <v>104.06103325922433</v>
      </c>
      <c r="I14" s="266">
        <f>+G14/E14*100</f>
        <v>103.54712290502795</v>
      </c>
      <c r="J14" s="1271">
        <f>'[5]2.1 - NN '!G12/1000000</f>
        <v>0.18569725316000002</v>
      </c>
      <c r="K14" s="246">
        <f>J14*100/G14</f>
        <v>100.18770131106477</v>
      </c>
      <c r="L14" s="198" t="s">
        <v>650</v>
      </c>
    </row>
    <row r="15" spans="1:11" s="198" customFormat="1" ht="23.25" customHeight="1">
      <c r="A15" s="241" t="s">
        <v>41</v>
      </c>
      <c r="B15" s="243" t="s">
        <v>57</v>
      </c>
      <c r="C15" s="241"/>
      <c r="D15" s="993"/>
      <c r="E15" s="993"/>
      <c r="F15" s="993"/>
      <c r="G15" s="993"/>
      <c r="H15" s="993"/>
      <c r="I15" s="993"/>
      <c r="J15" s="993"/>
      <c r="K15" s="246"/>
    </row>
    <row r="16" spans="1:12" s="198" customFormat="1" ht="23.25" customHeight="1">
      <c r="A16" s="245" t="s">
        <v>13</v>
      </c>
      <c r="B16" s="243" t="s">
        <v>53</v>
      </c>
      <c r="C16" s="241" t="s">
        <v>54</v>
      </c>
      <c r="D16" s="993">
        <v>26.18</v>
      </c>
      <c r="E16" s="993">
        <v>26.4</v>
      </c>
      <c r="F16" s="993">
        <v>25.99</v>
      </c>
      <c r="G16" s="993">
        <f>'[1]2.1 - NN '!F28</f>
        <v>26.625231602411517</v>
      </c>
      <c r="H16" s="993">
        <f>G16/D16*100</f>
        <v>101.70065547139617</v>
      </c>
      <c r="I16" s="266">
        <f>+G16/E16*100</f>
        <v>100.85315000913455</v>
      </c>
      <c r="J16" s="993">
        <f>'[1]2.1 - NN '!G28</f>
        <v>26.939219099320045</v>
      </c>
      <c r="K16" s="246">
        <f aca="true" t="shared" si="0" ref="K16:K28">J16*100/G16</f>
        <v>101.17928550480698</v>
      </c>
      <c r="L16" s="198" t="s">
        <v>650</v>
      </c>
    </row>
    <row r="17" spans="1:12" s="198" customFormat="1" ht="23.25" customHeight="1">
      <c r="A17" s="245" t="s">
        <v>13</v>
      </c>
      <c r="B17" s="243" t="s">
        <v>55</v>
      </c>
      <c r="C17" s="241" t="s">
        <v>56</v>
      </c>
      <c r="D17" s="995">
        <v>0.08</v>
      </c>
      <c r="E17" s="995">
        <v>0.08</v>
      </c>
      <c r="F17" s="995">
        <v>0.074197</v>
      </c>
      <c r="G17" s="995">
        <f>'[1]2.1 - NN '!F29/1000000</f>
        <v>0.0792512</v>
      </c>
      <c r="H17" s="993">
        <f>G17/D17*100</f>
        <v>99.06399999999998</v>
      </c>
      <c r="I17" s="266">
        <f>+G17/E17*100</f>
        <v>99.06399999999998</v>
      </c>
      <c r="J17" s="995">
        <f>'[1]2.1 - NN '!G29/1000000</f>
        <v>0.07913134299999999</v>
      </c>
      <c r="K17" s="246">
        <f>J17*100/G17</f>
        <v>99.8487631733021</v>
      </c>
      <c r="L17" s="198" t="s">
        <v>650</v>
      </c>
    </row>
    <row r="18" spans="1:11" s="198" customFormat="1" ht="23.25" customHeight="1">
      <c r="A18" s="241" t="s">
        <v>50</v>
      </c>
      <c r="B18" s="243" t="s">
        <v>58</v>
      </c>
      <c r="C18" s="1082"/>
      <c r="D18" s="993"/>
      <c r="E18" s="993"/>
      <c r="F18" s="993"/>
      <c r="G18" s="993"/>
      <c r="H18" s="993"/>
      <c r="I18" s="993"/>
      <c r="J18" s="994"/>
      <c r="K18" s="246"/>
    </row>
    <row r="19" spans="1:12" s="198" customFormat="1" ht="23.25" customHeight="1">
      <c r="A19" s="241"/>
      <c r="B19" s="247" t="s">
        <v>446</v>
      </c>
      <c r="C19" s="1082" t="s">
        <v>458</v>
      </c>
      <c r="D19" s="993">
        <v>7964.6</v>
      </c>
      <c r="E19" s="993">
        <v>6104.9</v>
      </c>
      <c r="F19" s="993"/>
      <c r="G19" s="992">
        <f>'[1]2.1 - NN '!F48</f>
        <v>3312.94</v>
      </c>
      <c r="H19" s="993">
        <f>G19/D19*100</f>
        <v>41.595811465735885</v>
      </c>
      <c r="I19" s="266">
        <f aca="true" t="shared" si="1" ref="I19:I26">+G19/E19*100</f>
        <v>54.26690035872824</v>
      </c>
      <c r="J19" s="992">
        <f>'[2]2.1 - NN '!G49</f>
        <v>6921.900000000001</v>
      </c>
      <c r="K19" s="246">
        <f t="shared" si="0"/>
        <v>208.9352659571257</v>
      </c>
      <c r="L19" s="198" t="s">
        <v>650</v>
      </c>
    </row>
    <row r="20" spans="1:12" s="198" customFormat="1" ht="23.25" customHeight="1">
      <c r="A20" s="241"/>
      <c r="B20" s="247" t="s">
        <v>477</v>
      </c>
      <c r="C20" s="1082" t="s">
        <v>458</v>
      </c>
      <c r="D20" s="993">
        <v>74.1</v>
      </c>
      <c r="E20" s="993">
        <v>95</v>
      </c>
      <c r="F20" s="993">
        <v>40.6</v>
      </c>
      <c r="G20" s="996">
        <f>'[1]2.1 - NN '!F44</f>
        <v>75.6</v>
      </c>
      <c r="H20" s="993">
        <f>G20/D20*100</f>
        <v>102.02429149797571</v>
      </c>
      <c r="I20" s="266">
        <f t="shared" si="1"/>
        <v>79.57894736842105</v>
      </c>
      <c r="J20" s="992">
        <f>'[2]2.1 - NN '!G45</f>
        <v>90</v>
      </c>
      <c r="K20" s="246">
        <f t="shared" si="0"/>
        <v>119.04761904761905</v>
      </c>
      <c r="L20" s="198" t="s">
        <v>650</v>
      </c>
    </row>
    <row r="21" spans="1:12" s="198" customFormat="1" ht="23.25" customHeight="1">
      <c r="A21" s="241"/>
      <c r="B21" s="247" t="s">
        <v>478</v>
      </c>
      <c r="C21" s="1082" t="s">
        <v>458</v>
      </c>
      <c r="D21" s="993">
        <v>443.3</v>
      </c>
      <c r="E21" s="993">
        <v>1027</v>
      </c>
      <c r="F21" s="993">
        <v>252.42</v>
      </c>
      <c r="G21" s="996">
        <f>'[1]2.1 - NN '!F53</f>
        <v>999.5899999999999</v>
      </c>
      <c r="H21" s="993">
        <f>G21/D21*100</f>
        <v>225.48838258515676</v>
      </c>
      <c r="I21" s="266">
        <f t="shared" si="1"/>
        <v>97.33106134371955</v>
      </c>
      <c r="J21" s="992">
        <f>'[2]2.1 - NN '!G54</f>
        <v>1858.8290000000002</v>
      </c>
      <c r="K21" s="246">
        <f>J21*100/G21</f>
        <v>185.959143248732</v>
      </c>
      <c r="L21" s="198" t="s">
        <v>650</v>
      </c>
    </row>
    <row r="22" spans="1:14" s="199" customFormat="1" ht="33" customHeight="1">
      <c r="A22" s="238">
        <v>3</v>
      </c>
      <c r="B22" s="239" t="s">
        <v>479</v>
      </c>
      <c r="C22" s="1082"/>
      <c r="D22" s="1259">
        <f>+D23+D24+D25</f>
        <v>570739</v>
      </c>
      <c r="E22" s="1259">
        <f aca="true" t="shared" si="2" ref="E22:J22">+E23+E24+E25</f>
        <v>594480</v>
      </c>
      <c r="F22" s="1259">
        <f t="shared" si="2"/>
        <v>587988</v>
      </c>
      <c r="G22" s="1259">
        <f t="shared" si="2"/>
        <v>581464</v>
      </c>
      <c r="H22" s="1091">
        <f>+G22/D22*100</f>
        <v>101.87914265539942</v>
      </c>
      <c r="I22" s="1091">
        <f t="shared" si="1"/>
        <v>97.81052348270758</v>
      </c>
      <c r="J22" s="1259">
        <f t="shared" si="2"/>
        <v>606798</v>
      </c>
      <c r="K22" s="1260">
        <f>+J22/G22*100</f>
        <v>104.35693353328838</v>
      </c>
      <c r="N22" s="934"/>
    </row>
    <row r="23" spans="1:12" s="199" customFormat="1" ht="23.25" customHeight="1">
      <c r="A23" s="238"/>
      <c r="B23" s="247" t="s">
        <v>480</v>
      </c>
      <c r="C23" s="1082" t="s">
        <v>481</v>
      </c>
      <c r="D23" s="1178">
        <v>125350</v>
      </c>
      <c r="E23" s="992">
        <v>126904</v>
      </c>
      <c r="F23" s="992">
        <v>127751</v>
      </c>
      <c r="G23" s="992">
        <v>128646</v>
      </c>
      <c r="H23" s="1261">
        <f>+G23/D23*100</f>
        <v>102.6294375747906</v>
      </c>
      <c r="I23" s="266">
        <f t="shared" si="1"/>
        <v>101.37269116812708</v>
      </c>
      <c r="J23" s="992">
        <v>130754</v>
      </c>
      <c r="K23" s="246">
        <f>J23*100/G23</f>
        <v>101.6386051645601</v>
      </c>
      <c r="L23" s="198" t="s">
        <v>650</v>
      </c>
    </row>
    <row r="24" spans="1:12" s="199" customFormat="1" ht="23.25" customHeight="1">
      <c r="A24" s="238"/>
      <c r="B24" s="247" t="s">
        <v>482</v>
      </c>
      <c r="C24" s="1082" t="s">
        <v>481</v>
      </c>
      <c r="D24" s="1178">
        <v>61877</v>
      </c>
      <c r="E24" s="992">
        <v>65243</v>
      </c>
      <c r="F24" s="992">
        <v>65707</v>
      </c>
      <c r="G24" s="992">
        <v>68441</v>
      </c>
      <c r="H24" s="1261">
        <f>+G24/D24*100</f>
        <v>110.60814195904779</v>
      </c>
      <c r="I24" s="266">
        <f t="shared" si="1"/>
        <v>104.9016752755085</v>
      </c>
      <c r="J24" s="992">
        <v>71337</v>
      </c>
      <c r="K24" s="246">
        <f t="shared" si="0"/>
        <v>104.23138177408279</v>
      </c>
      <c r="L24" s="198" t="s">
        <v>650</v>
      </c>
    </row>
    <row r="25" spans="1:12" s="199" customFormat="1" ht="23.25" customHeight="1">
      <c r="A25" s="238"/>
      <c r="B25" s="247" t="s">
        <v>483</v>
      </c>
      <c r="C25" s="1082" t="s">
        <v>481</v>
      </c>
      <c r="D25" s="1178">
        <v>383512</v>
      </c>
      <c r="E25" s="992">
        <v>402333</v>
      </c>
      <c r="F25" s="992">
        <v>394530</v>
      </c>
      <c r="G25" s="992">
        <v>384377</v>
      </c>
      <c r="H25" s="1261">
        <f>+G25/D25*100</f>
        <v>100.22554704937525</v>
      </c>
      <c r="I25" s="266">
        <f t="shared" si="1"/>
        <v>95.53703027094471</v>
      </c>
      <c r="J25" s="992">
        <v>404707</v>
      </c>
      <c r="K25" s="246">
        <f t="shared" si="0"/>
        <v>105.28907817065017</v>
      </c>
      <c r="L25" s="198" t="s">
        <v>650</v>
      </c>
    </row>
    <row r="26" spans="1:12" s="199" customFormat="1" ht="23.25" customHeight="1">
      <c r="A26" s="238"/>
      <c r="B26" s="247" t="s">
        <v>484</v>
      </c>
      <c r="C26" s="1082" t="s">
        <v>481</v>
      </c>
      <c r="D26" s="1178">
        <v>3822155</v>
      </c>
      <c r="E26" s="992">
        <v>4041308</v>
      </c>
      <c r="F26" s="992">
        <v>4033740</v>
      </c>
      <c r="G26" s="992">
        <v>3839167</v>
      </c>
      <c r="H26" s="1261">
        <f>+G26/D26*100</f>
        <v>100.44508922322618</v>
      </c>
      <c r="I26" s="266">
        <f t="shared" si="1"/>
        <v>94.99812931852757</v>
      </c>
      <c r="J26" s="992">
        <v>4077179</v>
      </c>
      <c r="K26" s="246">
        <f t="shared" si="0"/>
        <v>106.1995740221772</v>
      </c>
      <c r="L26" s="198" t="s">
        <v>650</v>
      </c>
    </row>
    <row r="27" spans="1:11" s="198" customFormat="1" ht="23.25" customHeight="1" hidden="1">
      <c r="A27" s="245" t="s">
        <v>13</v>
      </c>
      <c r="B27" s="243" t="s">
        <v>59</v>
      </c>
      <c r="C27" s="241" t="s">
        <v>60</v>
      </c>
      <c r="D27" s="997">
        <v>20.6</v>
      </c>
      <c r="E27" s="997"/>
      <c r="F27" s="997">
        <v>12.032460000000002</v>
      </c>
      <c r="G27" s="997">
        <v>21.88</v>
      </c>
      <c r="H27" s="993">
        <v>106.2</v>
      </c>
      <c r="I27" s="993"/>
      <c r="J27" s="993">
        <v>22.76</v>
      </c>
      <c r="K27" s="246">
        <f t="shared" si="0"/>
        <v>104.0219378427788</v>
      </c>
    </row>
    <row r="28" spans="1:11" s="198" customFormat="1" ht="23.25" customHeight="1" hidden="1">
      <c r="A28" s="241"/>
      <c r="B28" s="248" t="s">
        <v>61</v>
      </c>
      <c r="C28" s="249" t="s">
        <v>60</v>
      </c>
      <c r="D28" s="997">
        <v>1.59506</v>
      </c>
      <c r="E28" s="997"/>
      <c r="F28" s="997">
        <v>0.9841</v>
      </c>
      <c r="G28" s="997">
        <v>1.6827883</v>
      </c>
      <c r="H28" s="993">
        <v>105.5</v>
      </c>
      <c r="I28" s="993"/>
      <c r="J28" s="993">
        <v>1.74</v>
      </c>
      <c r="K28" s="246">
        <f t="shared" si="0"/>
        <v>103.39981565120225</v>
      </c>
    </row>
    <row r="29" spans="1:11" s="199" customFormat="1" ht="24" customHeight="1">
      <c r="A29" s="238">
        <v>4</v>
      </c>
      <c r="B29" s="239" t="s">
        <v>62</v>
      </c>
      <c r="C29" s="1082"/>
      <c r="D29" s="998"/>
      <c r="E29" s="998"/>
      <c r="F29" s="998"/>
      <c r="G29" s="998"/>
      <c r="H29" s="998"/>
      <c r="I29" s="998"/>
      <c r="J29" s="998"/>
      <c r="K29" s="250"/>
    </row>
    <row r="30" spans="1:11" s="198" customFormat="1" ht="18.75" hidden="1">
      <c r="A30" s="241" t="s">
        <v>36</v>
      </c>
      <c r="B30" s="243" t="s">
        <v>63</v>
      </c>
      <c r="C30" s="1082"/>
      <c r="D30" s="993"/>
      <c r="E30" s="993"/>
      <c r="F30" s="993"/>
      <c r="G30" s="993"/>
      <c r="H30" s="993" t="e">
        <v>#DIV/0!</v>
      </c>
      <c r="I30" s="993"/>
      <c r="J30" s="993"/>
      <c r="K30" s="246"/>
    </row>
    <row r="31" spans="1:11" s="198" customFormat="1" ht="18.75" hidden="1">
      <c r="A31" s="241"/>
      <c r="B31" s="247" t="s">
        <v>64</v>
      </c>
      <c r="C31" s="1082" t="s">
        <v>65</v>
      </c>
      <c r="D31" s="993"/>
      <c r="E31" s="993"/>
      <c r="F31" s="993"/>
      <c r="G31" s="993"/>
      <c r="H31" s="993" t="e">
        <v>#DIV/0!</v>
      </c>
      <c r="I31" s="993"/>
      <c r="J31" s="993"/>
      <c r="K31" s="246"/>
    </row>
    <row r="32" spans="1:11" s="198" customFormat="1" ht="18.75" hidden="1">
      <c r="A32" s="241"/>
      <c r="B32" s="247" t="s">
        <v>66</v>
      </c>
      <c r="C32" s="1082" t="s">
        <v>65</v>
      </c>
      <c r="D32" s="993"/>
      <c r="E32" s="993"/>
      <c r="F32" s="993"/>
      <c r="G32" s="993"/>
      <c r="H32" s="993" t="e">
        <v>#DIV/0!</v>
      </c>
      <c r="I32" s="993"/>
      <c r="J32" s="993"/>
      <c r="K32" s="246"/>
    </row>
    <row r="33" spans="1:12" s="198" customFormat="1" ht="24" customHeight="1">
      <c r="A33" s="245" t="s">
        <v>13</v>
      </c>
      <c r="B33" s="251" t="s">
        <v>67</v>
      </c>
      <c r="C33" s="1082" t="s">
        <v>65</v>
      </c>
      <c r="D33" s="1262">
        <f>'[2]2.1 - NN '!D66/1000</f>
        <v>1.00943</v>
      </c>
      <c r="E33" s="1262">
        <f>'[2]2.1 - NN '!E66/1000</f>
        <v>3.0528299999999997</v>
      </c>
      <c r="F33" s="1262">
        <v>1.315</v>
      </c>
      <c r="G33" s="1262">
        <v>1.542</v>
      </c>
      <c r="H33" s="1261">
        <f aca="true" t="shared" si="3" ref="H33:H38">G33*100/D33</f>
        <v>152.759478121316</v>
      </c>
      <c r="I33" s="1263">
        <f>+G33/E33*100</f>
        <v>50.51050992030346</v>
      </c>
      <c r="J33" s="1264">
        <f>'[2]2.1 - NN '!G66/1000</f>
        <v>1.0164000000000002</v>
      </c>
      <c r="K33" s="1265">
        <f aca="true" t="shared" si="4" ref="K33:K38">J33*100/G33</f>
        <v>65.91439688715954</v>
      </c>
      <c r="L33" s="198" t="s">
        <v>650</v>
      </c>
    </row>
    <row r="34" spans="1:11" s="198" customFormat="1" ht="18.75" hidden="1">
      <c r="A34" s="241"/>
      <c r="B34" s="248" t="s">
        <v>68</v>
      </c>
      <c r="C34" s="1082"/>
      <c r="D34" s="997"/>
      <c r="E34" s="997"/>
      <c r="F34" s="997"/>
      <c r="G34" s="997"/>
      <c r="H34" s="993" t="e">
        <f t="shared" si="3"/>
        <v>#DIV/0!</v>
      </c>
      <c r="I34" s="993"/>
      <c r="J34" s="993"/>
      <c r="K34" s="246" t="e">
        <f t="shared" si="4"/>
        <v>#DIV/0!</v>
      </c>
    </row>
    <row r="35" spans="1:11" s="198" customFormat="1" ht="18.75" hidden="1">
      <c r="A35" s="241"/>
      <c r="B35" s="243" t="s">
        <v>69</v>
      </c>
      <c r="C35" s="1082" t="s">
        <v>65</v>
      </c>
      <c r="D35" s="997"/>
      <c r="E35" s="997"/>
      <c r="F35" s="997"/>
      <c r="G35" s="997"/>
      <c r="H35" s="993" t="e">
        <f t="shared" si="3"/>
        <v>#DIV/0!</v>
      </c>
      <c r="I35" s="993"/>
      <c r="J35" s="993"/>
      <c r="K35" s="246" t="e">
        <f t="shared" si="4"/>
        <v>#DIV/0!</v>
      </c>
    </row>
    <row r="36" spans="1:11" s="198" customFormat="1" ht="18.75" hidden="1">
      <c r="A36" s="241"/>
      <c r="B36" s="243" t="s">
        <v>70</v>
      </c>
      <c r="C36" s="1082" t="s">
        <v>65</v>
      </c>
      <c r="D36" s="997"/>
      <c r="E36" s="997"/>
      <c r="F36" s="997"/>
      <c r="G36" s="997"/>
      <c r="H36" s="993" t="e">
        <f t="shared" si="3"/>
        <v>#DIV/0!</v>
      </c>
      <c r="I36" s="993"/>
      <c r="J36" s="993"/>
      <c r="K36" s="246" t="e">
        <f t="shared" si="4"/>
        <v>#DIV/0!</v>
      </c>
    </row>
    <row r="37" spans="1:11" s="198" customFormat="1" ht="18.75" hidden="1">
      <c r="A37" s="241"/>
      <c r="B37" s="247" t="s">
        <v>71</v>
      </c>
      <c r="C37" s="1082" t="s">
        <v>65</v>
      </c>
      <c r="D37" s="997"/>
      <c r="E37" s="997"/>
      <c r="F37" s="997"/>
      <c r="G37" s="997"/>
      <c r="H37" s="993" t="e">
        <f t="shared" si="3"/>
        <v>#DIV/0!</v>
      </c>
      <c r="I37" s="993"/>
      <c r="J37" s="993"/>
      <c r="K37" s="246" t="e">
        <f t="shared" si="4"/>
        <v>#DIV/0!</v>
      </c>
    </row>
    <row r="38" spans="1:11" s="198" customFormat="1" ht="18.75" hidden="1">
      <c r="A38" s="241"/>
      <c r="B38" s="247" t="s">
        <v>72</v>
      </c>
      <c r="C38" s="1082" t="s">
        <v>65</v>
      </c>
      <c r="D38" s="997"/>
      <c r="E38" s="997"/>
      <c r="F38" s="997"/>
      <c r="G38" s="997"/>
      <c r="H38" s="993" t="e">
        <f t="shared" si="3"/>
        <v>#DIV/0!</v>
      </c>
      <c r="I38" s="993"/>
      <c r="J38" s="993"/>
      <c r="K38" s="246" t="e">
        <f t="shared" si="4"/>
        <v>#DIV/0!</v>
      </c>
    </row>
    <row r="39" spans="1:12" s="198" customFormat="1" ht="24" customHeight="1">
      <c r="A39" s="245" t="s">
        <v>13</v>
      </c>
      <c r="B39" s="243" t="s">
        <v>73</v>
      </c>
      <c r="C39" s="1082" t="s">
        <v>21</v>
      </c>
      <c r="D39" s="997">
        <v>39.01</v>
      </c>
      <c r="E39" s="997">
        <v>39.02</v>
      </c>
      <c r="F39" s="997"/>
      <c r="G39" s="997">
        <f>'[2]2.1 - NN '!F72</f>
        <v>39.74</v>
      </c>
      <c r="H39" s="993">
        <f>G39-D39</f>
        <v>0.730000000000004</v>
      </c>
      <c r="I39" s="266">
        <f>+G39/E39*100</f>
        <v>101.8452075858534</v>
      </c>
      <c r="J39" s="993">
        <f>'[2]2.1 - NN '!G72</f>
        <v>40.31</v>
      </c>
      <c r="K39" s="246">
        <f>J39-G39</f>
        <v>0.5700000000000003</v>
      </c>
      <c r="L39" s="198" t="s">
        <v>650</v>
      </c>
    </row>
    <row r="40" spans="1:11" s="198" customFormat="1" ht="18.75" hidden="1">
      <c r="A40" s="241" t="s">
        <v>41</v>
      </c>
      <c r="B40" s="243" t="s">
        <v>74</v>
      </c>
      <c r="C40" s="1082"/>
      <c r="D40" s="993"/>
      <c r="E40" s="993"/>
      <c r="F40" s="993"/>
      <c r="G40" s="993"/>
      <c r="H40" s="993"/>
      <c r="I40" s="993"/>
      <c r="J40" s="993"/>
      <c r="K40" s="246"/>
    </row>
    <row r="41" spans="1:11" s="198" customFormat="1" ht="18.75" hidden="1">
      <c r="A41" s="241"/>
      <c r="B41" s="247" t="s">
        <v>75</v>
      </c>
      <c r="C41" s="1082" t="s">
        <v>76</v>
      </c>
      <c r="D41" s="993"/>
      <c r="E41" s="993"/>
      <c r="F41" s="993"/>
      <c r="G41" s="993"/>
      <c r="H41" s="993"/>
      <c r="I41" s="993"/>
      <c r="J41" s="993"/>
      <c r="K41" s="246"/>
    </row>
    <row r="42" spans="1:11" s="198" customFormat="1" ht="18.75" hidden="1">
      <c r="A42" s="241"/>
      <c r="B42" s="248" t="s">
        <v>68</v>
      </c>
      <c r="C42" s="1082"/>
      <c r="D42" s="993"/>
      <c r="E42" s="993"/>
      <c r="F42" s="993"/>
      <c r="G42" s="993"/>
      <c r="H42" s="993"/>
      <c r="I42" s="993"/>
      <c r="J42" s="993"/>
      <c r="K42" s="246"/>
    </row>
    <row r="43" spans="1:11" s="198" customFormat="1" ht="18.75" hidden="1">
      <c r="A43" s="241"/>
      <c r="B43" s="243" t="s">
        <v>77</v>
      </c>
      <c r="C43" s="1082" t="s">
        <v>76</v>
      </c>
      <c r="D43" s="993"/>
      <c r="E43" s="993"/>
      <c r="F43" s="993"/>
      <c r="G43" s="993"/>
      <c r="H43" s="993"/>
      <c r="I43" s="993"/>
      <c r="J43" s="993"/>
      <c r="K43" s="246"/>
    </row>
    <row r="44" spans="1:11" s="198" customFormat="1" ht="18.75" hidden="1">
      <c r="A44" s="241"/>
      <c r="B44" s="243" t="s">
        <v>78</v>
      </c>
      <c r="C44" s="1082" t="s">
        <v>76</v>
      </c>
      <c r="D44" s="993"/>
      <c r="E44" s="993"/>
      <c r="F44" s="993"/>
      <c r="G44" s="993"/>
      <c r="H44" s="993"/>
      <c r="I44" s="993"/>
      <c r="J44" s="993"/>
      <c r="K44" s="246"/>
    </row>
    <row r="45" spans="1:14" s="199" customFormat="1" ht="24" customHeight="1">
      <c r="A45" s="238">
        <v>5</v>
      </c>
      <c r="B45" s="239" t="s">
        <v>79</v>
      </c>
      <c r="C45" s="1082" t="s">
        <v>60</v>
      </c>
      <c r="D45" s="995">
        <f>D46+D47</f>
        <v>2.808</v>
      </c>
      <c r="E45" s="995">
        <f>E46+E47</f>
        <v>2.9650000000000003</v>
      </c>
      <c r="F45" s="995">
        <f>F46+F47</f>
        <v>1.49881</v>
      </c>
      <c r="G45" s="995">
        <f>G46+G47</f>
        <v>3.06929</v>
      </c>
      <c r="H45" s="993">
        <f>G45*100/D45</f>
        <v>109.30519943019945</v>
      </c>
      <c r="I45" s="266">
        <f>+G45/E45*100</f>
        <v>103.51736930860034</v>
      </c>
      <c r="J45" s="995">
        <f>J46+J47</f>
        <v>3.2814485000000007</v>
      </c>
      <c r="K45" s="246">
        <f>J45*100/G45</f>
        <v>106.91229893558447</v>
      </c>
      <c r="L45" s="198" t="s">
        <v>650</v>
      </c>
      <c r="N45" s="199">
        <f>G45/D45*100</f>
        <v>109.30519943019942</v>
      </c>
    </row>
    <row r="46" spans="1:12" s="198" customFormat="1" ht="24" customHeight="1">
      <c r="A46" s="245" t="s">
        <v>13</v>
      </c>
      <c r="B46" s="243" t="s">
        <v>80</v>
      </c>
      <c r="C46" s="1082" t="s">
        <v>60</v>
      </c>
      <c r="D46" s="995">
        <v>0.25</v>
      </c>
      <c r="E46" s="995">
        <v>0.253</v>
      </c>
      <c r="F46" s="995">
        <v>0.12081</v>
      </c>
      <c r="G46" s="995">
        <f>'[1]2.1 - NN '!F63/1000</f>
        <v>0.2515</v>
      </c>
      <c r="H46" s="993">
        <f>G46*100/D46</f>
        <v>100.6</v>
      </c>
      <c r="I46" s="266">
        <f>+G46/E46*100</f>
        <v>99.40711462450594</v>
      </c>
      <c r="J46" s="995">
        <f>'[1]2.1 - NN '!G63/1000</f>
        <v>0.25845500000000005</v>
      </c>
      <c r="K46" s="246">
        <f>J46*100/G46</f>
        <v>102.76540755467198</v>
      </c>
      <c r="L46" s="198" t="s">
        <v>650</v>
      </c>
    </row>
    <row r="47" spans="1:12" s="198" customFormat="1" ht="24" customHeight="1">
      <c r="A47" s="245" t="s">
        <v>13</v>
      </c>
      <c r="B47" s="243" t="s">
        <v>81</v>
      </c>
      <c r="C47" s="1082" t="s">
        <v>60</v>
      </c>
      <c r="D47" s="995">
        <v>2.558</v>
      </c>
      <c r="E47" s="995">
        <v>2.712</v>
      </c>
      <c r="F47" s="995">
        <v>1.378</v>
      </c>
      <c r="G47" s="995">
        <f>'[1]2.1 - NN '!F62/1000</f>
        <v>2.81779</v>
      </c>
      <c r="H47" s="993">
        <f>G47*100/D47</f>
        <v>110.15598123534012</v>
      </c>
      <c r="I47" s="266">
        <f>+G47/E47*100</f>
        <v>103.90081120943952</v>
      </c>
      <c r="J47" s="995">
        <f>'[1]2.1 - NN '!G62/1000</f>
        <v>3.0229935000000006</v>
      </c>
      <c r="K47" s="246">
        <f>J47*100/G47</f>
        <v>107.28242700840022</v>
      </c>
      <c r="L47" s="198" t="s">
        <v>650</v>
      </c>
    </row>
    <row r="48" spans="1:11" s="198" customFormat="1" ht="18.75" hidden="1">
      <c r="A48" s="241"/>
      <c r="B48" s="248" t="s">
        <v>68</v>
      </c>
      <c r="C48" s="1082"/>
      <c r="D48" s="993"/>
      <c r="E48" s="993"/>
      <c r="F48" s="993"/>
      <c r="G48" s="993"/>
      <c r="H48" s="993" t="e">
        <v>#DIV/0!</v>
      </c>
      <c r="I48" s="993"/>
      <c r="J48" s="993"/>
      <c r="K48" s="246"/>
    </row>
    <row r="49" spans="1:11" s="198" customFormat="1" ht="18.75" hidden="1">
      <c r="A49" s="241"/>
      <c r="B49" s="243" t="s">
        <v>82</v>
      </c>
      <c r="C49" s="1082" t="s">
        <v>60</v>
      </c>
      <c r="D49" s="993"/>
      <c r="E49" s="993"/>
      <c r="F49" s="993"/>
      <c r="G49" s="993"/>
      <c r="H49" s="993" t="e">
        <v>#DIV/0!</v>
      </c>
      <c r="I49" s="993"/>
      <c r="J49" s="993"/>
      <c r="K49" s="246"/>
    </row>
    <row r="50" spans="1:11" s="198" customFormat="1" ht="18.75" hidden="1">
      <c r="A50" s="241"/>
      <c r="B50" s="243" t="s">
        <v>83</v>
      </c>
      <c r="C50" s="1082" t="s">
        <v>60</v>
      </c>
      <c r="D50" s="993"/>
      <c r="E50" s="993"/>
      <c r="F50" s="993"/>
      <c r="G50" s="993"/>
      <c r="H50" s="993" t="e">
        <v>#DIV/0!</v>
      </c>
      <c r="I50" s="993"/>
      <c r="J50" s="993"/>
      <c r="K50" s="246"/>
    </row>
    <row r="51" spans="1:11" s="198" customFormat="1" ht="40.5" customHeight="1">
      <c r="A51" s="238">
        <v>6</v>
      </c>
      <c r="B51" s="239" t="s">
        <v>84</v>
      </c>
      <c r="C51" s="241"/>
      <c r="D51" s="993"/>
      <c r="E51" s="993"/>
      <c r="F51" s="993"/>
      <c r="G51" s="993"/>
      <c r="H51" s="993"/>
      <c r="I51" s="993"/>
      <c r="J51" s="993"/>
      <c r="K51" s="246"/>
    </row>
    <row r="52" spans="1:12" s="198" customFormat="1" ht="40.5" customHeight="1">
      <c r="A52" s="241"/>
      <c r="B52" s="243" t="s">
        <v>86</v>
      </c>
      <c r="C52" s="241" t="s">
        <v>21</v>
      </c>
      <c r="D52" s="999">
        <v>79.19</v>
      </c>
      <c r="E52" s="993">
        <v>78.55</v>
      </c>
      <c r="F52" s="993"/>
      <c r="G52" s="993">
        <v>79.92</v>
      </c>
      <c r="H52" s="246">
        <v>0.730000000000004</v>
      </c>
      <c r="I52" s="246">
        <v>101.74411203055381</v>
      </c>
      <c r="J52" s="246">
        <v>80.65</v>
      </c>
      <c r="K52" s="246">
        <v>0.730000000000004</v>
      </c>
      <c r="L52" s="198" t="s">
        <v>650</v>
      </c>
    </row>
    <row r="53" spans="1:12" s="198" customFormat="1" ht="40.5" customHeight="1">
      <c r="A53" s="245" t="s">
        <v>13</v>
      </c>
      <c r="B53" s="243" t="s">
        <v>87</v>
      </c>
      <c r="C53" s="241" t="s">
        <v>88</v>
      </c>
      <c r="D53" s="997">
        <v>6.74</v>
      </c>
      <c r="E53" s="997">
        <v>7.76</v>
      </c>
      <c r="F53" s="993"/>
      <c r="G53" s="993">
        <v>8.2</v>
      </c>
      <c r="H53" s="1176">
        <v>1.2166172106824924</v>
      </c>
      <c r="I53" s="246">
        <v>105.6701030927835</v>
      </c>
      <c r="J53" s="246">
        <v>8.9</v>
      </c>
      <c r="K53" s="1176">
        <v>1.0853658536585367</v>
      </c>
      <c r="L53" s="198" t="s">
        <v>650</v>
      </c>
    </row>
    <row r="54" spans="1:12" s="198" customFormat="1" ht="40.5" customHeight="1">
      <c r="A54" s="245" t="s">
        <v>13</v>
      </c>
      <c r="B54" s="243" t="s">
        <v>485</v>
      </c>
      <c r="C54" s="241" t="s">
        <v>90</v>
      </c>
      <c r="D54" s="1001">
        <f>D55+D56</f>
        <v>16</v>
      </c>
      <c r="E54" s="1001">
        <f>E55+E56</f>
        <v>22</v>
      </c>
      <c r="F54" s="993"/>
      <c r="G54" s="1002">
        <v>22</v>
      </c>
      <c r="H54" s="1177">
        <v>1.375</v>
      </c>
      <c r="I54" s="246">
        <v>100</v>
      </c>
      <c r="J54" s="1178">
        <v>30</v>
      </c>
      <c r="K54" s="1176">
        <v>1.3636363636363635</v>
      </c>
      <c r="L54" s="198" t="s">
        <v>650</v>
      </c>
    </row>
    <row r="55" spans="1:12" s="198" customFormat="1" ht="40.5" customHeight="1">
      <c r="A55" s="245" t="s">
        <v>486</v>
      </c>
      <c r="B55" s="243" t="s">
        <v>89</v>
      </c>
      <c r="C55" s="241" t="s">
        <v>90</v>
      </c>
      <c r="D55" s="1001">
        <v>13</v>
      </c>
      <c r="E55" s="1002">
        <v>12</v>
      </c>
      <c r="F55" s="993"/>
      <c r="G55" s="992">
        <v>16</v>
      </c>
      <c r="H55" s="1177"/>
      <c r="I55" s="246">
        <v>133.33333333333331</v>
      </c>
      <c r="J55" s="1178">
        <v>18</v>
      </c>
      <c r="K55" s="1176"/>
      <c r="L55" s="198" t="s">
        <v>650</v>
      </c>
    </row>
    <row r="56" spans="1:12" s="198" customFormat="1" ht="40.5" customHeight="1">
      <c r="A56" s="245" t="s">
        <v>486</v>
      </c>
      <c r="B56" s="243" t="s">
        <v>487</v>
      </c>
      <c r="C56" s="241" t="s">
        <v>90</v>
      </c>
      <c r="D56" s="1001">
        <v>3</v>
      </c>
      <c r="E56" s="1002">
        <v>10</v>
      </c>
      <c r="F56" s="993"/>
      <c r="G56" s="992">
        <v>6</v>
      </c>
      <c r="H56" s="1177"/>
      <c r="I56" s="246">
        <v>60</v>
      </c>
      <c r="J56" s="1178">
        <v>12</v>
      </c>
      <c r="K56" s="1176"/>
      <c r="L56" s="198" t="s">
        <v>650</v>
      </c>
    </row>
    <row r="57" spans="1:12" s="198" customFormat="1" ht="39.75" customHeight="1">
      <c r="A57" s="245" t="s">
        <v>13</v>
      </c>
      <c r="B57" s="243" t="s">
        <v>488</v>
      </c>
      <c r="C57" s="241" t="s">
        <v>21</v>
      </c>
      <c r="D57" s="1000">
        <f>16/116</f>
        <v>0.13793103448275862</v>
      </c>
      <c r="E57" s="1000">
        <f>22/116</f>
        <v>0.1896551724137931</v>
      </c>
      <c r="F57" s="993">
        <v>7.9</v>
      </c>
      <c r="G57" s="1000">
        <v>0.1896551724137931</v>
      </c>
      <c r="H57" s="1177">
        <v>1.375</v>
      </c>
      <c r="I57" s="246">
        <v>100</v>
      </c>
      <c r="J57" s="1176">
        <v>0.25</v>
      </c>
      <c r="K57" s="1176">
        <v>1.3181818181818183</v>
      </c>
      <c r="L57" s="198" t="s">
        <v>650</v>
      </c>
    </row>
    <row r="58" spans="1:12" s="198" customFormat="1" ht="40.5" customHeight="1">
      <c r="A58" s="245" t="s">
        <v>486</v>
      </c>
      <c r="B58" s="243" t="s">
        <v>487</v>
      </c>
      <c r="C58" s="241" t="s">
        <v>90</v>
      </c>
      <c r="D58" s="1001">
        <v>3</v>
      </c>
      <c r="E58" s="1002">
        <v>10</v>
      </c>
      <c r="F58" s="1001" t="e">
        <f>F59+#REF!</f>
        <v>#REF!</v>
      </c>
      <c r="G58" s="992">
        <v>6</v>
      </c>
      <c r="H58" s="1177"/>
      <c r="I58" s="246">
        <v>60</v>
      </c>
      <c r="J58" s="1178">
        <v>12</v>
      </c>
      <c r="K58" s="1176"/>
      <c r="L58" s="198" t="s">
        <v>650</v>
      </c>
    </row>
    <row r="59" spans="1:12" s="198" customFormat="1" ht="35.25" customHeight="1">
      <c r="A59" s="245" t="s">
        <v>13</v>
      </c>
      <c r="B59" s="243" t="s">
        <v>488</v>
      </c>
      <c r="C59" s="241" t="s">
        <v>21</v>
      </c>
      <c r="D59" s="1000">
        <f>16/116</f>
        <v>0.13793103448275862</v>
      </c>
      <c r="E59" s="1000">
        <f>22/116</f>
        <v>0.1896551724137931</v>
      </c>
      <c r="F59" s="992">
        <f>D59</f>
        <v>0.13793103448275862</v>
      </c>
      <c r="G59" s="1000">
        <v>0.1896551724137931</v>
      </c>
      <c r="H59" s="1177">
        <v>1.375</v>
      </c>
      <c r="I59" s="246">
        <v>100</v>
      </c>
      <c r="J59" s="1176">
        <v>0.25</v>
      </c>
      <c r="K59" s="1176">
        <v>1.3181818181818183</v>
      </c>
      <c r="L59" s="198" t="s">
        <v>650</v>
      </c>
    </row>
    <row r="60" spans="1:11" ht="24" customHeight="1">
      <c r="A60" s="238" t="s">
        <v>91</v>
      </c>
      <c r="B60" s="239" t="s">
        <v>92</v>
      </c>
      <c r="C60" s="238"/>
      <c r="D60" s="323"/>
      <c r="E60" s="323"/>
      <c r="F60" s="323"/>
      <c r="G60" s="323"/>
      <c r="H60" s="323"/>
      <c r="I60" s="323"/>
      <c r="J60" s="323"/>
      <c r="K60" s="205"/>
    </row>
    <row r="61" spans="1:11" s="204" customFormat="1" ht="39.75" customHeight="1">
      <c r="A61" s="169">
        <v>1</v>
      </c>
      <c r="B61" s="227" t="s">
        <v>93</v>
      </c>
      <c r="C61" s="169" t="s">
        <v>94</v>
      </c>
      <c r="D61" s="1003">
        <v>2405.79</v>
      </c>
      <c r="E61" s="318">
        <v>2830</v>
      </c>
      <c r="F61" s="505">
        <v>1227.24</v>
      </c>
      <c r="G61" s="505">
        <v>2717.433</v>
      </c>
      <c r="H61" s="505">
        <f aca="true" t="shared" si="5" ref="H61:H66">+G61/D61*100</f>
        <v>112.95387377950694</v>
      </c>
      <c r="I61" s="505">
        <f>+G61/E61*100</f>
        <v>96.02236749116608</v>
      </c>
      <c r="J61" s="1004">
        <v>3070</v>
      </c>
      <c r="K61" s="935">
        <f>+J61/G61*100</f>
        <v>112.97426652285448</v>
      </c>
    </row>
    <row r="62" spans="1:11" s="203" customFormat="1" ht="30.75" customHeight="1">
      <c r="A62" s="169">
        <v>2</v>
      </c>
      <c r="B62" s="227" t="s">
        <v>95</v>
      </c>
      <c r="C62" s="154" t="s">
        <v>21</v>
      </c>
      <c r="D62" s="505">
        <v>112.48</v>
      </c>
      <c r="E62" s="505"/>
      <c r="F62" s="505">
        <v>109.19</v>
      </c>
      <c r="G62" s="505">
        <v>112.82</v>
      </c>
      <c r="H62" s="266">
        <f t="shared" si="5"/>
        <v>100.30227596017069</v>
      </c>
      <c r="I62" s="505"/>
      <c r="J62" s="505"/>
      <c r="K62" s="935"/>
    </row>
    <row r="63" spans="1:11" s="203" customFormat="1" ht="24" customHeight="1">
      <c r="A63" s="168" t="s">
        <v>13</v>
      </c>
      <c r="B63" s="152" t="s">
        <v>96</v>
      </c>
      <c r="C63" s="154" t="s">
        <v>21</v>
      </c>
      <c r="D63" s="1005">
        <v>105.96</v>
      </c>
      <c r="E63" s="266"/>
      <c r="F63" s="266">
        <v>100.21</v>
      </c>
      <c r="G63" s="266">
        <v>104.31</v>
      </c>
      <c r="H63" s="266">
        <f t="shared" si="5"/>
        <v>98.44280860702153</v>
      </c>
      <c r="I63" s="266"/>
      <c r="J63" s="266"/>
      <c r="K63" s="252"/>
    </row>
    <row r="64" spans="1:11" s="203" customFormat="1" ht="24" customHeight="1">
      <c r="A64" s="253" t="s">
        <v>13</v>
      </c>
      <c r="B64" s="152" t="s">
        <v>97</v>
      </c>
      <c r="C64" s="154" t="s">
        <v>21</v>
      </c>
      <c r="D64" s="1005">
        <v>103.22</v>
      </c>
      <c r="E64" s="266"/>
      <c r="F64" s="266">
        <v>106.89</v>
      </c>
      <c r="G64" s="266">
        <v>109.02</v>
      </c>
      <c r="H64" s="266">
        <f t="shared" si="5"/>
        <v>105.61906607246658</v>
      </c>
      <c r="I64" s="266"/>
      <c r="J64" s="266"/>
      <c r="K64" s="252"/>
    </row>
    <row r="65" spans="1:11" s="203" customFormat="1" ht="24" customHeight="1">
      <c r="A65" s="168" t="s">
        <v>13</v>
      </c>
      <c r="B65" s="152" t="s">
        <v>98</v>
      </c>
      <c r="C65" s="154" t="s">
        <v>21</v>
      </c>
      <c r="D65" s="1005">
        <v>135.16</v>
      </c>
      <c r="E65" s="266"/>
      <c r="F65" s="266">
        <v>120.08</v>
      </c>
      <c r="G65" s="266">
        <v>128.94</v>
      </c>
      <c r="H65" s="266">
        <f t="shared" si="5"/>
        <v>95.39804675939627</v>
      </c>
      <c r="I65" s="266"/>
      <c r="J65" s="266"/>
      <c r="K65" s="252"/>
    </row>
    <row r="66" spans="1:11" s="203" customFormat="1" ht="36" customHeight="1">
      <c r="A66" s="253" t="s">
        <v>13</v>
      </c>
      <c r="B66" s="152" t="s">
        <v>99</v>
      </c>
      <c r="C66" s="154" t="s">
        <v>21</v>
      </c>
      <c r="D66" s="1005">
        <v>104.57</v>
      </c>
      <c r="E66" s="266"/>
      <c r="F66" s="266">
        <v>104.28</v>
      </c>
      <c r="G66" s="266">
        <v>105.99</v>
      </c>
      <c r="H66" s="266">
        <f t="shared" si="5"/>
        <v>101.35794204838864</v>
      </c>
      <c r="I66" s="266"/>
      <c r="J66" s="266"/>
      <c r="K66" s="252"/>
    </row>
    <row r="67" spans="1:11" s="203" customFormat="1" ht="24" customHeight="1">
      <c r="A67" s="169">
        <v>3</v>
      </c>
      <c r="B67" s="227" t="s">
        <v>100</v>
      </c>
      <c r="C67" s="169"/>
      <c r="D67" s="505"/>
      <c r="E67" s="505"/>
      <c r="F67" s="505"/>
      <c r="G67" s="505"/>
      <c r="H67" s="505"/>
      <c r="I67" s="505"/>
      <c r="J67" s="505"/>
      <c r="K67" s="935"/>
    </row>
    <row r="68" spans="1:11" s="203" customFormat="1" ht="24" customHeight="1">
      <c r="A68" s="169"/>
      <c r="B68" s="152" t="s">
        <v>447</v>
      </c>
      <c r="C68" s="254" t="s">
        <v>453</v>
      </c>
      <c r="D68" s="1005">
        <v>398</v>
      </c>
      <c r="E68" s="1005">
        <v>440</v>
      </c>
      <c r="F68" s="266">
        <v>125</v>
      </c>
      <c r="G68" s="1005">
        <v>512</v>
      </c>
      <c r="H68" s="266">
        <f>+G68/D68*100</f>
        <v>128.643216080402</v>
      </c>
      <c r="I68" s="266">
        <f>+G68/E68*100</f>
        <v>116.36363636363636</v>
      </c>
      <c r="J68" s="1005">
        <v>522</v>
      </c>
      <c r="K68" s="252">
        <f>+J68/G68*100</f>
        <v>101.953125</v>
      </c>
    </row>
    <row r="69" spans="1:11" s="203" customFormat="1" ht="24" customHeight="1">
      <c r="A69" s="169"/>
      <c r="B69" s="255" t="s">
        <v>448</v>
      </c>
      <c r="C69" s="254" t="s">
        <v>454</v>
      </c>
      <c r="D69" s="1005">
        <v>8.95</v>
      </c>
      <c r="E69" s="1005">
        <v>10</v>
      </c>
      <c r="F69" s="266">
        <v>3</v>
      </c>
      <c r="G69" s="1005">
        <v>6.444</v>
      </c>
      <c r="H69" s="266">
        <f aca="true" t="shared" si="6" ref="H69:H78">+G69/D69*100</f>
        <v>72.00000000000001</v>
      </c>
      <c r="I69" s="266">
        <f aca="true" t="shared" si="7" ref="I69:I78">+G69/E69*100</f>
        <v>64.44</v>
      </c>
      <c r="J69" s="1005">
        <v>7</v>
      </c>
      <c r="K69" s="252">
        <f aca="true" t="shared" si="8" ref="K69:K78">+J69/G69*100</f>
        <v>108.62818125387959</v>
      </c>
    </row>
    <row r="70" spans="1:11" s="203" customFormat="1" ht="24" customHeight="1">
      <c r="A70" s="169"/>
      <c r="B70" s="152" t="s">
        <v>449</v>
      </c>
      <c r="C70" s="256" t="s">
        <v>496</v>
      </c>
      <c r="D70" s="1005">
        <v>691.014</v>
      </c>
      <c r="E70" s="1005">
        <v>650</v>
      </c>
      <c r="F70" s="266">
        <v>363.5</v>
      </c>
      <c r="G70" s="1005">
        <v>735.693</v>
      </c>
      <c r="H70" s="266">
        <f t="shared" si="6"/>
        <v>106.46571560055223</v>
      </c>
      <c r="I70" s="266">
        <f t="shared" si="7"/>
        <v>113.18353846153846</v>
      </c>
      <c r="J70" s="1005">
        <v>700</v>
      </c>
      <c r="K70" s="252">
        <f t="shared" si="8"/>
        <v>95.14838390469939</v>
      </c>
    </row>
    <row r="71" spans="1:11" s="203" customFormat="1" ht="24" customHeight="1">
      <c r="A71" s="169"/>
      <c r="B71" s="152" t="s">
        <v>497</v>
      </c>
      <c r="C71" s="256" t="s">
        <v>455</v>
      </c>
      <c r="D71" s="1005">
        <v>69.7</v>
      </c>
      <c r="E71" s="1005">
        <v>70</v>
      </c>
      <c r="F71" s="266">
        <v>33.4</v>
      </c>
      <c r="G71" s="1005">
        <v>70</v>
      </c>
      <c r="H71" s="266">
        <f t="shared" si="6"/>
        <v>100.43041606886656</v>
      </c>
      <c r="I71" s="266">
        <f t="shared" si="7"/>
        <v>100</v>
      </c>
      <c r="J71" s="1005">
        <v>73</v>
      </c>
      <c r="K71" s="252">
        <f t="shared" si="8"/>
        <v>104.28571428571429</v>
      </c>
    </row>
    <row r="72" spans="1:11" s="203" customFormat="1" ht="24" customHeight="1">
      <c r="A72" s="169"/>
      <c r="B72" s="152" t="s">
        <v>498</v>
      </c>
      <c r="C72" s="256" t="s">
        <v>456</v>
      </c>
      <c r="D72" s="1005">
        <v>8.307</v>
      </c>
      <c r="E72" s="1005">
        <v>8.45</v>
      </c>
      <c r="F72" s="1006">
        <v>4.1</v>
      </c>
      <c r="G72" s="1005">
        <v>8.73</v>
      </c>
      <c r="H72" s="266">
        <f t="shared" si="6"/>
        <v>105.09209100758396</v>
      </c>
      <c r="I72" s="266">
        <f t="shared" si="7"/>
        <v>103.31360946745562</v>
      </c>
      <c r="J72" s="1005">
        <v>8.7</v>
      </c>
      <c r="K72" s="252">
        <f t="shared" si="8"/>
        <v>99.65635738831614</v>
      </c>
    </row>
    <row r="73" spans="1:11" ht="39.75" customHeight="1">
      <c r="A73" s="169"/>
      <c r="B73" s="152" t="s">
        <v>450</v>
      </c>
      <c r="C73" s="256" t="s">
        <v>457</v>
      </c>
      <c r="D73" s="1005">
        <v>2178</v>
      </c>
      <c r="E73" s="1005">
        <v>2200</v>
      </c>
      <c r="F73" s="266">
        <v>1071</v>
      </c>
      <c r="G73" s="1005">
        <v>2240</v>
      </c>
      <c r="H73" s="266">
        <f t="shared" si="6"/>
        <v>102.84664830119377</v>
      </c>
      <c r="I73" s="266">
        <f t="shared" si="7"/>
        <v>101.81818181818181</v>
      </c>
      <c r="J73" s="1005">
        <v>2300</v>
      </c>
      <c r="K73" s="252">
        <f t="shared" si="8"/>
        <v>102.67857142857142</v>
      </c>
    </row>
    <row r="74" spans="1:11" ht="24" customHeight="1">
      <c r="A74" s="169"/>
      <c r="B74" s="152" t="s">
        <v>499</v>
      </c>
      <c r="C74" s="254" t="s">
        <v>60</v>
      </c>
      <c r="D74" s="1005">
        <v>237.3</v>
      </c>
      <c r="E74" s="1005">
        <v>270</v>
      </c>
      <c r="F74" s="266">
        <v>133.8</v>
      </c>
      <c r="G74" s="1005">
        <v>264.154</v>
      </c>
      <c r="H74" s="266">
        <f t="shared" si="6"/>
        <v>111.31647703329119</v>
      </c>
      <c r="I74" s="266">
        <f t="shared" si="7"/>
        <v>97.83481481481482</v>
      </c>
      <c r="J74" s="1005">
        <v>270</v>
      </c>
      <c r="K74" s="252">
        <f t="shared" si="8"/>
        <v>102.21310296266573</v>
      </c>
    </row>
    <row r="75" spans="1:11" ht="24" customHeight="1">
      <c r="A75" s="169"/>
      <c r="B75" s="152" t="s">
        <v>451</v>
      </c>
      <c r="C75" s="256" t="s">
        <v>458</v>
      </c>
      <c r="D75" s="1005">
        <v>813</v>
      </c>
      <c r="E75" s="1005">
        <v>1100</v>
      </c>
      <c r="F75" s="266">
        <v>331</v>
      </c>
      <c r="G75" s="1005">
        <v>713</v>
      </c>
      <c r="H75" s="266">
        <f t="shared" si="6"/>
        <v>87.69987699877</v>
      </c>
      <c r="I75" s="266">
        <f t="shared" si="7"/>
        <v>64.81818181818181</v>
      </c>
      <c r="J75" s="1005">
        <v>1100</v>
      </c>
      <c r="K75" s="252">
        <f t="shared" si="8"/>
        <v>154.27769985974754</v>
      </c>
    </row>
    <row r="76" spans="1:11" ht="24" customHeight="1">
      <c r="A76" s="169"/>
      <c r="B76" s="152" t="s">
        <v>452</v>
      </c>
      <c r="C76" s="256" t="s">
        <v>500</v>
      </c>
      <c r="D76" s="936">
        <v>23246</v>
      </c>
      <c r="E76" s="936">
        <v>30000</v>
      </c>
      <c r="F76" s="266">
        <v>12510</v>
      </c>
      <c r="G76" s="1007">
        <v>24783</v>
      </c>
      <c r="H76" s="266">
        <f t="shared" si="6"/>
        <v>106.61189021767186</v>
      </c>
      <c r="I76" s="266">
        <f t="shared" si="7"/>
        <v>82.61</v>
      </c>
      <c r="J76" s="936">
        <v>25890.76</v>
      </c>
      <c r="K76" s="252">
        <f t="shared" si="8"/>
        <v>104.46983819553725</v>
      </c>
    </row>
    <row r="77" spans="1:11" ht="24" customHeight="1">
      <c r="A77" s="169" t="s">
        <v>101</v>
      </c>
      <c r="B77" s="227" t="s">
        <v>102</v>
      </c>
      <c r="C77" s="169"/>
      <c r="D77" s="505"/>
      <c r="E77" s="505"/>
      <c r="F77" s="505"/>
      <c r="G77" s="505"/>
      <c r="H77" s="505"/>
      <c r="I77" s="505"/>
      <c r="J77" s="505"/>
      <c r="K77" s="935"/>
    </row>
    <row r="78" spans="1:11" ht="31.5" customHeight="1">
      <c r="A78" s="168" t="s">
        <v>13</v>
      </c>
      <c r="B78" s="152" t="s">
        <v>103</v>
      </c>
      <c r="C78" s="154" t="s">
        <v>11</v>
      </c>
      <c r="D78" s="936">
        <v>9525.202</v>
      </c>
      <c r="E78" s="936">
        <v>11100</v>
      </c>
      <c r="F78" s="266">
        <v>5222.15</v>
      </c>
      <c r="G78" s="936">
        <v>11142.034</v>
      </c>
      <c r="H78" s="266">
        <f t="shared" si="6"/>
        <v>116.97425419429426</v>
      </c>
      <c r="I78" s="266">
        <f t="shared" si="7"/>
        <v>100.37868468468467</v>
      </c>
      <c r="J78" s="266">
        <v>12760</v>
      </c>
      <c r="K78" s="252">
        <f t="shared" si="8"/>
        <v>114.52128040535507</v>
      </c>
    </row>
    <row r="79" spans="1:11" ht="24" customHeight="1">
      <c r="A79" s="169" t="s">
        <v>104</v>
      </c>
      <c r="B79" s="227" t="s">
        <v>105</v>
      </c>
      <c r="C79" s="154"/>
      <c r="D79" s="266"/>
      <c r="E79" s="266"/>
      <c r="F79" s="266"/>
      <c r="G79" s="266"/>
      <c r="H79" s="266"/>
      <c r="I79" s="266"/>
      <c r="J79" s="266"/>
      <c r="K79" s="252"/>
    </row>
    <row r="80" spans="1:11" ht="24" customHeight="1">
      <c r="A80" s="169"/>
      <c r="B80" s="227" t="s">
        <v>501</v>
      </c>
      <c r="C80" s="257"/>
      <c r="D80" s="936"/>
      <c r="E80" s="936"/>
      <c r="F80" s="266"/>
      <c r="G80" s="266"/>
      <c r="H80" s="266"/>
      <c r="I80" s="266"/>
      <c r="J80" s="266"/>
      <c r="K80" s="252"/>
    </row>
    <row r="81" spans="1:11" ht="24" customHeight="1">
      <c r="A81" s="169"/>
      <c r="B81" s="258" t="s">
        <v>502</v>
      </c>
      <c r="C81" s="259" t="s">
        <v>503</v>
      </c>
      <c r="D81" s="936">
        <v>5.4</v>
      </c>
      <c r="E81" s="936">
        <v>12.7</v>
      </c>
      <c r="F81" s="266">
        <v>4.4</v>
      </c>
      <c r="G81" s="266">
        <v>12.7</v>
      </c>
      <c r="H81" s="266">
        <f>+G81/D81*100</f>
        <v>235.18518518518516</v>
      </c>
      <c r="I81" s="266">
        <f>+G81/E81*100</f>
        <v>100</v>
      </c>
      <c r="J81" s="266">
        <v>13</v>
      </c>
      <c r="K81" s="252">
        <f aca="true" t="shared" si="9" ref="K81:K88">+J81/G81*100</f>
        <v>102.36220472440945</v>
      </c>
    </row>
    <row r="82" spans="1:11" ht="24" customHeight="1">
      <c r="A82" s="169"/>
      <c r="B82" s="258" t="s">
        <v>504</v>
      </c>
      <c r="C82" s="259" t="s">
        <v>505</v>
      </c>
      <c r="D82" s="936">
        <v>81.7</v>
      </c>
      <c r="E82" s="936">
        <v>140</v>
      </c>
      <c r="F82" s="266">
        <v>49.5</v>
      </c>
      <c r="G82" s="266">
        <v>140</v>
      </c>
      <c r="H82" s="266">
        <f>+G82/D82*100</f>
        <v>171.35862913096696</v>
      </c>
      <c r="I82" s="266">
        <f>+G82/E82*100</f>
        <v>100</v>
      </c>
      <c r="J82" s="266">
        <v>150</v>
      </c>
      <c r="K82" s="252">
        <f t="shared" si="9"/>
        <v>107.14285714285714</v>
      </c>
    </row>
    <row r="83" spans="1:11" ht="24" customHeight="1">
      <c r="A83" s="169"/>
      <c r="B83" s="258" t="s">
        <v>506</v>
      </c>
      <c r="C83" s="259" t="s">
        <v>503</v>
      </c>
      <c r="D83" s="936">
        <v>12.4</v>
      </c>
      <c r="E83" s="936">
        <v>13.3</v>
      </c>
      <c r="F83" s="266">
        <v>10.54</v>
      </c>
      <c r="G83" s="266">
        <v>13.3</v>
      </c>
      <c r="H83" s="266">
        <f>+G83/D83*100</f>
        <v>107.25806451612902</v>
      </c>
      <c r="I83" s="266">
        <f>+G83/E83*100</f>
        <v>100</v>
      </c>
      <c r="J83" s="266">
        <v>16</v>
      </c>
      <c r="K83" s="252">
        <f t="shared" si="9"/>
        <v>120.30075187969925</v>
      </c>
    </row>
    <row r="84" spans="1:11" ht="24" customHeight="1">
      <c r="A84" s="169"/>
      <c r="B84" s="258" t="s">
        <v>507</v>
      </c>
      <c r="C84" s="259" t="s">
        <v>503</v>
      </c>
      <c r="D84" s="936">
        <v>13.3</v>
      </c>
      <c r="E84" s="936">
        <v>9.6</v>
      </c>
      <c r="F84" s="266">
        <v>4.76</v>
      </c>
      <c r="G84" s="266">
        <v>9.6</v>
      </c>
      <c r="H84" s="266">
        <f>+G84/D84*100</f>
        <v>72.18045112781954</v>
      </c>
      <c r="I84" s="266">
        <f>+G84/E84*100</f>
        <v>100</v>
      </c>
      <c r="J84" s="266">
        <v>10</v>
      </c>
      <c r="K84" s="252">
        <f t="shared" si="9"/>
        <v>104.16666666666667</v>
      </c>
    </row>
    <row r="85" spans="1:11" ht="24" customHeight="1">
      <c r="A85" s="169"/>
      <c r="B85" s="227" t="s">
        <v>508</v>
      </c>
      <c r="C85" s="259"/>
      <c r="D85" s="936"/>
      <c r="E85" s="936"/>
      <c r="F85" s="266"/>
      <c r="G85" s="266"/>
      <c r="H85" s="266"/>
      <c r="I85" s="266"/>
      <c r="J85" s="266"/>
      <c r="K85" s="252"/>
    </row>
    <row r="86" spans="1:11" ht="24" customHeight="1">
      <c r="A86" s="169"/>
      <c r="B86" s="258" t="s">
        <v>459</v>
      </c>
      <c r="C86" s="259" t="s">
        <v>509</v>
      </c>
      <c r="D86" s="936">
        <v>3</v>
      </c>
      <c r="E86" s="936">
        <v>5</v>
      </c>
      <c r="F86" s="266">
        <v>2.5</v>
      </c>
      <c r="G86" s="266">
        <v>5</v>
      </c>
      <c r="H86" s="266">
        <f>+G86/D86*100</f>
        <v>166.66666666666669</v>
      </c>
      <c r="I86" s="266">
        <f>+G86/E86*100</f>
        <v>100</v>
      </c>
      <c r="J86" s="266">
        <v>5</v>
      </c>
      <c r="K86" s="252">
        <f t="shared" si="9"/>
        <v>100</v>
      </c>
    </row>
    <row r="87" spans="1:11" ht="24" customHeight="1">
      <c r="A87" s="169"/>
      <c r="B87" s="258" t="s">
        <v>460</v>
      </c>
      <c r="C87" s="259" t="s">
        <v>509</v>
      </c>
      <c r="D87" s="936">
        <v>5.7</v>
      </c>
      <c r="E87" s="936">
        <v>8</v>
      </c>
      <c r="F87" s="266">
        <v>4</v>
      </c>
      <c r="G87" s="266">
        <v>8</v>
      </c>
      <c r="H87" s="266">
        <f>+G87/D87*100</f>
        <v>140.35087719298244</v>
      </c>
      <c r="I87" s="266">
        <f>+G87/E87*100</f>
        <v>100</v>
      </c>
      <c r="J87" s="266">
        <v>11</v>
      </c>
      <c r="K87" s="252">
        <f t="shared" si="9"/>
        <v>137.5</v>
      </c>
    </row>
    <row r="88" spans="1:11" ht="24" customHeight="1">
      <c r="A88" s="169"/>
      <c r="B88" s="152" t="s">
        <v>510</v>
      </c>
      <c r="C88" s="259" t="s">
        <v>509</v>
      </c>
      <c r="D88" s="936">
        <v>7.3</v>
      </c>
      <c r="E88" s="936">
        <v>9</v>
      </c>
      <c r="F88" s="266">
        <v>4.5</v>
      </c>
      <c r="G88" s="266">
        <v>9</v>
      </c>
      <c r="H88" s="266">
        <f>+G88/D88*100</f>
        <v>123.28767123287672</v>
      </c>
      <c r="I88" s="266">
        <f>+G88/E88*100</f>
        <v>100</v>
      </c>
      <c r="J88" s="266">
        <v>17</v>
      </c>
      <c r="K88" s="252">
        <f t="shared" si="9"/>
        <v>188.88888888888889</v>
      </c>
    </row>
    <row r="89" spans="1:11" ht="18" customHeight="1">
      <c r="A89" s="169"/>
      <c r="B89" s="260" t="s">
        <v>511</v>
      </c>
      <c r="C89" s="261"/>
      <c r="D89" s="997"/>
      <c r="E89" s="997"/>
      <c r="F89" s="266"/>
      <c r="G89" s="266"/>
      <c r="H89" s="266"/>
      <c r="I89" s="266"/>
      <c r="J89" s="266"/>
      <c r="K89" s="252"/>
    </row>
    <row r="90" spans="1:11" ht="29.25" customHeight="1">
      <c r="A90" s="169"/>
      <c r="B90" s="260" t="s">
        <v>512</v>
      </c>
      <c r="C90" s="262"/>
      <c r="D90" s="997"/>
      <c r="E90" s="997"/>
      <c r="F90" s="266"/>
      <c r="G90" s="266"/>
      <c r="H90" s="266"/>
      <c r="I90" s="266"/>
      <c r="J90" s="266"/>
      <c r="K90" s="252"/>
    </row>
    <row r="91" spans="1:11" ht="32.25" customHeight="1">
      <c r="A91" s="169"/>
      <c r="B91" s="263" t="s">
        <v>513</v>
      </c>
      <c r="C91" s="264" t="s">
        <v>514</v>
      </c>
      <c r="D91" s="1008">
        <v>1227.1600000000003</v>
      </c>
      <c r="E91" s="1008">
        <v>1500</v>
      </c>
      <c r="F91" s="1009">
        <v>1501.875537</v>
      </c>
      <c r="G91" s="1008">
        <v>1501.875537</v>
      </c>
      <c r="H91" s="266">
        <f>G91/D91%</f>
        <v>122.38628516248896</v>
      </c>
      <c r="I91" s="266">
        <f>+G91/E91*100</f>
        <v>100.12503579999998</v>
      </c>
      <c r="J91" s="1179">
        <v>1800</v>
      </c>
      <c r="K91" s="252">
        <f>J91/G91%</f>
        <v>119.85014441313189</v>
      </c>
    </row>
    <row r="92" spans="1:11" ht="31.5">
      <c r="A92" s="168"/>
      <c r="B92" s="263" t="s">
        <v>515</v>
      </c>
      <c r="C92" s="264" t="s">
        <v>516</v>
      </c>
      <c r="D92" s="1008">
        <v>250571.28999999998</v>
      </c>
      <c r="E92" s="1008">
        <v>290000</v>
      </c>
      <c r="F92" s="1009">
        <v>290737.973795</v>
      </c>
      <c r="G92" s="1008">
        <v>290737.973795</v>
      </c>
      <c r="H92" s="266">
        <f>G92/D92%</f>
        <v>116.03004230652283</v>
      </c>
      <c r="I92" s="266">
        <f>+G92/E92*100</f>
        <v>100.25447372241378</v>
      </c>
      <c r="J92" s="1179">
        <v>330000</v>
      </c>
      <c r="K92" s="252">
        <f>J92/G92%</f>
        <v>113.50426492023492</v>
      </c>
    </row>
    <row r="93" spans="1:11" ht="27" customHeight="1">
      <c r="A93" s="154"/>
      <c r="B93" s="260" t="s">
        <v>517</v>
      </c>
      <c r="C93" s="264"/>
      <c r="D93" s="1008"/>
      <c r="E93" s="1008"/>
      <c r="F93" s="1009"/>
      <c r="G93" s="1008"/>
      <c r="H93" s="266"/>
      <c r="I93" s="266"/>
      <c r="J93" s="1179"/>
      <c r="K93" s="252"/>
    </row>
    <row r="94" spans="1:11" ht="43.5" customHeight="1">
      <c r="A94" s="168"/>
      <c r="B94" s="263" t="s">
        <v>518</v>
      </c>
      <c r="C94" s="264" t="s">
        <v>519</v>
      </c>
      <c r="D94" s="1008">
        <v>3266.71</v>
      </c>
      <c r="E94" s="1008">
        <v>3650</v>
      </c>
      <c r="F94" s="1009">
        <v>3656.388333</v>
      </c>
      <c r="G94" s="1008">
        <v>3656.388333</v>
      </c>
      <c r="H94" s="266">
        <f>G94/D94%</f>
        <v>111.9287703224345</v>
      </c>
      <c r="I94" s="266">
        <f>+G94/E94*100</f>
        <v>100.17502282191782</v>
      </c>
      <c r="J94" s="1179">
        <v>3750</v>
      </c>
      <c r="K94" s="252">
        <f>J94/G94%</f>
        <v>102.56022223228116</v>
      </c>
    </row>
    <row r="95" spans="1:11" ht="31.5">
      <c r="A95" s="154"/>
      <c r="B95" s="263" t="s">
        <v>520</v>
      </c>
      <c r="C95" s="264" t="s">
        <v>521</v>
      </c>
      <c r="D95" s="1008">
        <v>136455.12</v>
      </c>
      <c r="E95" s="1008">
        <v>160000</v>
      </c>
      <c r="F95" s="1009">
        <v>160491.67034399998</v>
      </c>
      <c r="G95" s="1008">
        <v>160491.67034399998</v>
      </c>
      <c r="H95" s="266">
        <f>G95/D95%</f>
        <v>117.61498604376295</v>
      </c>
      <c r="I95" s="266">
        <f>+G95/E95*100</f>
        <v>100.307293965</v>
      </c>
      <c r="J95" s="1179">
        <v>170000</v>
      </c>
      <c r="K95" s="252">
        <f>J95/G95%</f>
        <v>105.92450040280579</v>
      </c>
    </row>
  </sheetData>
  <sheetProtection/>
  <mergeCells count="10">
    <mergeCell ref="A2:K2"/>
    <mergeCell ref="A3:K3"/>
    <mergeCell ref="A4:K4"/>
    <mergeCell ref="A6:A7"/>
    <mergeCell ref="B6:B7"/>
    <mergeCell ref="C6:C7"/>
    <mergeCell ref="D6:D7"/>
    <mergeCell ref="E6:I6"/>
    <mergeCell ref="J6:J7"/>
    <mergeCell ref="K6:K7"/>
  </mergeCells>
  <printOptions horizontalCentered="1"/>
  <pageMargins left="0.3937007874015748" right="0.3937007874015748" top="0.4724409448818898" bottom="0.5118110236220472" header="0.31496062992125984" footer="0.31496062992125984"/>
  <pageSetup firstPageNumber="1" useFirstPageNumber="1" fitToHeight="0" fitToWidth="1" horizontalDpi="600" verticalDpi="600" orientation="landscape" paperSize="9" scale="97" r:id="rId3"/>
  <headerFooter differentFirst="1">
    <oddFooter>&amp;R&amp;P</oddFooter>
  </headerFooter>
  <legacyDrawing r:id="rId2"/>
</worksheet>
</file>

<file path=xl/worksheets/sheet3.xml><?xml version="1.0" encoding="utf-8"?>
<worksheet xmlns="http://schemas.openxmlformats.org/spreadsheetml/2006/main" xmlns:r="http://schemas.openxmlformats.org/officeDocument/2006/relationships">
  <sheetPr>
    <tabColor rgb="FFFFFF00"/>
  </sheetPr>
  <dimension ref="A1:AB70"/>
  <sheetViews>
    <sheetView view="pageBreakPreview" zoomScaleSheetLayoutView="100" zoomScalePageLayoutView="0" workbookViewId="0" topLeftCell="A1">
      <pane xSplit="3" ySplit="7" topLeftCell="D44" activePane="bottomRight" state="frozen"/>
      <selection pane="topLeft" activeCell="A5" sqref="A5"/>
      <selection pane="topRight" activeCell="A5" sqref="A5"/>
      <selection pane="bottomLeft" activeCell="A5" sqref="A5"/>
      <selection pane="bottomRight" activeCell="G24" sqref="G24"/>
    </sheetView>
  </sheetViews>
  <sheetFormatPr defaultColWidth="8.625" defaultRowHeight="15.75"/>
  <cols>
    <col min="1" max="1" width="3.375" style="1094" customWidth="1"/>
    <col min="2" max="2" width="19.00390625" style="1154" customWidth="1"/>
    <col min="3" max="3" width="5.875" style="1094" customWidth="1"/>
    <col min="4" max="5" width="8.875" style="1154" customWidth="1"/>
    <col min="6" max="6" width="8.75390625" style="1162" customWidth="1"/>
    <col min="7" max="7" width="9.50390625" style="1163" customWidth="1"/>
    <col min="8" max="8" width="8.75390625" style="1154" customWidth="1"/>
    <col min="9" max="9" width="8.125" style="1154" customWidth="1"/>
    <col min="10" max="10" width="8.25390625" style="1154" customWidth="1"/>
    <col min="11" max="12" width="7.75390625" style="1154" customWidth="1"/>
    <col min="13" max="13" width="8.625" style="1154" customWidth="1"/>
    <col min="14" max="14" width="7.75390625" style="1154" customWidth="1"/>
    <col min="15" max="15" width="8.125" style="1154" customWidth="1"/>
    <col min="16" max="17" width="7.75390625" style="1154" customWidth="1"/>
    <col min="18" max="18" width="8.25390625" style="1154" customWidth="1"/>
    <col min="19" max="19" width="8.375" style="1154" customWidth="1"/>
    <col min="20" max="20" width="9.25390625" style="1154" customWidth="1"/>
    <col min="21" max="21" width="13.00390625" style="1154" bestFit="1" customWidth="1"/>
    <col min="22" max="22" width="14.50390625" style="1154" bestFit="1" customWidth="1"/>
    <col min="23" max="25" width="13.00390625" style="1154" bestFit="1" customWidth="1"/>
    <col min="26" max="27" width="9.375" style="1154" bestFit="1" customWidth="1"/>
    <col min="28" max="30" width="8.625" style="1154" customWidth="1"/>
    <col min="31" max="31" width="9.125" style="1154" bestFit="1" customWidth="1"/>
    <col min="32" max="16384" width="8.625" style="1154" customWidth="1"/>
  </cols>
  <sheetData>
    <row r="1" spans="1:6" s="1093" customFormat="1" ht="12.75" customHeight="1">
      <c r="A1" s="1092" t="s">
        <v>1391</v>
      </c>
      <c r="F1" s="1094"/>
    </row>
    <row r="2" spans="1:19" s="1093" customFormat="1" ht="21.75" customHeight="1">
      <c r="A2" s="1312" t="s">
        <v>1310</v>
      </c>
      <c r="B2" s="1312"/>
      <c r="C2" s="1312"/>
      <c r="D2" s="1312"/>
      <c r="E2" s="1312"/>
      <c r="F2" s="1312"/>
      <c r="G2" s="1312"/>
      <c r="H2" s="1312"/>
      <c r="I2" s="1312"/>
      <c r="J2" s="1312"/>
      <c r="K2" s="1312"/>
      <c r="L2" s="1312"/>
      <c r="M2" s="1312"/>
      <c r="N2" s="1312"/>
      <c r="O2" s="1312"/>
      <c r="P2" s="1312"/>
      <c r="Q2" s="1312"/>
      <c r="R2" s="1312"/>
      <c r="S2" s="1312"/>
    </row>
    <row r="3" spans="1:19" s="1093" customFormat="1" ht="12.75" customHeight="1">
      <c r="A3" s="1313" t="str">
        <f>'[5]2. CN NN DV'!A4:K4</f>
        <v>(Kèm theo quyết định số          /QĐ-UBND ngày      /12/2018 của UBND tỉnh Điện Biên)</v>
      </c>
      <c r="B3" s="1313"/>
      <c r="C3" s="1313"/>
      <c r="D3" s="1313"/>
      <c r="E3" s="1313"/>
      <c r="F3" s="1313"/>
      <c r="G3" s="1313"/>
      <c r="H3" s="1313"/>
      <c r="I3" s="1313"/>
      <c r="J3" s="1313"/>
      <c r="K3" s="1313"/>
      <c r="L3" s="1313"/>
      <c r="M3" s="1313"/>
      <c r="N3" s="1313"/>
      <c r="O3" s="1313"/>
      <c r="P3" s="1313"/>
      <c r="Q3" s="1313"/>
      <c r="R3" s="1313"/>
      <c r="S3" s="1313"/>
    </row>
    <row r="4" s="1093" customFormat="1" ht="12.75" customHeight="1">
      <c r="F4" s="1094"/>
    </row>
    <row r="5" spans="1:23" s="1097" customFormat="1" ht="18" customHeight="1">
      <c r="A5" s="1314" t="s">
        <v>2</v>
      </c>
      <c r="B5" s="1315" t="s">
        <v>3</v>
      </c>
      <c r="C5" s="1314" t="s">
        <v>525</v>
      </c>
      <c r="D5" s="1316" t="s">
        <v>1311</v>
      </c>
      <c r="E5" s="1315" t="s">
        <v>468</v>
      </c>
      <c r="F5" s="1315"/>
      <c r="G5" s="1317" t="s">
        <v>1174</v>
      </c>
      <c r="H5" s="1318"/>
      <c r="I5" s="1318"/>
      <c r="J5" s="1318"/>
      <c r="K5" s="1318"/>
      <c r="L5" s="1318"/>
      <c r="M5" s="1318"/>
      <c r="N5" s="1318"/>
      <c r="O5" s="1318"/>
      <c r="P5" s="1318"/>
      <c r="Q5" s="1319"/>
      <c r="R5" s="1315" t="s">
        <v>548</v>
      </c>
      <c r="S5" s="1315"/>
      <c r="T5" s="1309" t="s">
        <v>296</v>
      </c>
      <c r="U5" s="1310"/>
      <c r="V5" s="1095"/>
      <c r="W5" s="1096"/>
    </row>
    <row r="6" spans="1:23" s="1097" customFormat="1" ht="42" customHeight="1">
      <c r="A6" s="1314"/>
      <c r="B6" s="1315"/>
      <c r="C6" s="1314"/>
      <c r="D6" s="1316"/>
      <c r="E6" s="1098" t="s">
        <v>5</v>
      </c>
      <c r="F6" s="941" t="s">
        <v>1312</v>
      </c>
      <c r="G6" s="941" t="s">
        <v>299</v>
      </c>
      <c r="H6" s="1098" t="s">
        <v>530</v>
      </c>
      <c r="I6" s="1098" t="s">
        <v>551</v>
      </c>
      <c r="J6" s="1098" t="s">
        <v>957</v>
      </c>
      <c r="K6" s="1098" t="s">
        <v>552</v>
      </c>
      <c r="L6" s="1098" t="s">
        <v>601</v>
      </c>
      <c r="M6" s="1098" t="s">
        <v>597</v>
      </c>
      <c r="N6" s="1098" t="s">
        <v>1313</v>
      </c>
      <c r="O6" s="1098" t="s">
        <v>1314</v>
      </c>
      <c r="P6" s="1098" t="s">
        <v>533</v>
      </c>
      <c r="Q6" s="1098" t="s">
        <v>1315</v>
      </c>
      <c r="R6" s="1098" t="s">
        <v>529</v>
      </c>
      <c r="S6" s="1098" t="s">
        <v>1173</v>
      </c>
      <c r="T6" s="1309"/>
      <c r="U6" s="1310"/>
      <c r="V6" s="1095"/>
      <c r="W6" s="1096"/>
    </row>
    <row r="7" spans="1:19" s="1104" customFormat="1" ht="17.25" customHeight="1">
      <c r="A7" s="1099" t="s">
        <v>48</v>
      </c>
      <c r="B7" s="1100" t="s">
        <v>1316</v>
      </c>
      <c r="C7" s="1099"/>
      <c r="D7" s="1101"/>
      <c r="E7" s="1101"/>
      <c r="F7" s="1102"/>
      <c r="G7" s="1103"/>
      <c r="H7" s="1101"/>
      <c r="I7" s="1101"/>
      <c r="J7" s="1101"/>
      <c r="K7" s="1101"/>
      <c r="L7" s="1101"/>
      <c r="M7" s="1101"/>
      <c r="N7" s="1101"/>
      <c r="O7" s="1101"/>
      <c r="P7" s="1101"/>
      <c r="Q7" s="1101"/>
      <c r="R7" s="1101"/>
      <c r="S7" s="1101"/>
    </row>
    <row r="8" spans="1:19" s="1104" customFormat="1" ht="17.25" customHeight="1">
      <c r="A8" s="1099" t="s">
        <v>107</v>
      </c>
      <c r="B8" s="1100" t="s">
        <v>1317</v>
      </c>
      <c r="C8" s="1099"/>
      <c r="D8" s="1101"/>
      <c r="E8" s="1105"/>
      <c r="F8" s="1105"/>
      <c r="G8" s="1106"/>
      <c r="H8" s="1101"/>
      <c r="I8" s="1101"/>
      <c r="J8" s="1101"/>
      <c r="K8" s="1101"/>
      <c r="L8" s="1101"/>
      <c r="M8" s="1101"/>
      <c r="N8" s="1101"/>
      <c r="O8" s="1101"/>
      <c r="P8" s="1101"/>
      <c r="Q8" s="1101"/>
      <c r="R8" s="1101"/>
      <c r="S8" s="1101"/>
    </row>
    <row r="9" spans="1:19" s="1104" customFormat="1" ht="27.75" customHeight="1">
      <c r="A9" s="1099"/>
      <c r="B9" s="1107" t="s">
        <v>1392</v>
      </c>
      <c r="C9" s="1099" t="s">
        <v>537</v>
      </c>
      <c r="D9" s="1101">
        <f>D16+D20+D24+D28</f>
        <v>80757.24</v>
      </c>
      <c r="E9" s="1101">
        <f aca="true" t="shared" si="0" ref="E9:Q9">E16+E20+E24+E28</f>
        <v>80764</v>
      </c>
      <c r="F9" s="1101">
        <f>F16+F20+F24+F28</f>
        <v>81068.8</v>
      </c>
      <c r="G9" s="1101">
        <f>G16+G20+G24+G28</f>
        <v>80568.492</v>
      </c>
      <c r="H9" s="1101">
        <f>H16+H20+H24+H28</f>
        <v>18147</v>
      </c>
      <c r="I9" s="1101">
        <f t="shared" si="0"/>
        <v>4293</v>
      </c>
      <c r="J9" s="1101">
        <f t="shared" si="0"/>
        <v>12700</v>
      </c>
      <c r="K9" s="1101">
        <f t="shared" si="0"/>
        <v>6385</v>
      </c>
      <c r="L9" s="1101">
        <f t="shared" si="0"/>
        <v>8424.1</v>
      </c>
      <c r="M9" s="1101">
        <f t="shared" si="0"/>
        <v>9781</v>
      </c>
      <c r="N9" s="1101">
        <f t="shared" si="0"/>
        <v>1360.632</v>
      </c>
      <c r="O9" s="1101">
        <f t="shared" si="0"/>
        <v>12226</v>
      </c>
      <c r="P9" s="1101">
        <f t="shared" si="0"/>
        <v>6453</v>
      </c>
      <c r="Q9" s="1101">
        <f t="shared" si="0"/>
        <v>798.76</v>
      </c>
      <c r="R9" s="1133">
        <f>F9/D9*100</f>
        <v>100.38579822688342</v>
      </c>
      <c r="S9" s="1133">
        <f>G9/F9*100</f>
        <v>99.38285999052655</v>
      </c>
    </row>
    <row r="10" spans="1:20" s="1112" customFormat="1" ht="17.25" customHeight="1">
      <c r="A10" s="1109"/>
      <c r="B10" s="1110" t="s">
        <v>535</v>
      </c>
      <c r="C10" s="1109" t="s">
        <v>458</v>
      </c>
      <c r="D10" s="1111">
        <f>D12+D30</f>
        <v>258206.1</v>
      </c>
      <c r="E10" s="1111">
        <f aca="true" t="shared" si="1" ref="E10:Q10">E12+E30</f>
        <v>259790</v>
      </c>
      <c r="F10" s="1111">
        <f>F12+F30</f>
        <v>264600.55</v>
      </c>
      <c r="G10" s="1111">
        <f>G12+G30</f>
        <v>264828.59616</v>
      </c>
      <c r="H10" s="1111">
        <f t="shared" si="1"/>
        <v>94511.57</v>
      </c>
      <c r="I10" s="1111">
        <f t="shared" si="1"/>
        <v>18571.74</v>
      </c>
      <c r="J10" s="1111">
        <f t="shared" si="1"/>
        <v>37199</v>
      </c>
      <c r="K10" s="1111">
        <f t="shared" si="1"/>
        <v>15022.75</v>
      </c>
      <c r="L10" s="1111">
        <f t="shared" si="1"/>
        <v>19309.11</v>
      </c>
      <c r="M10" s="1111">
        <f t="shared" si="1"/>
        <v>24518.52</v>
      </c>
      <c r="N10" s="1111">
        <f t="shared" si="1"/>
        <v>7223.56416</v>
      </c>
      <c r="O10" s="1111">
        <f t="shared" si="1"/>
        <v>28451.489999999998</v>
      </c>
      <c r="P10" s="1111">
        <f t="shared" si="1"/>
        <v>17037.25</v>
      </c>
      <c r="Q10" s="1111">
        <f t="shared" si="1"/>
        <v>2983.602</v>
      </c>
      <c r="R10" s="1108">
        <f>F10/D10*100</f>
        <v>102.4764906793449</v>
      </c>
      <c r="S10" s="1108">
        <f>G10/F10*100</f>
        <v>100.08618506650875</v>
      </c>
      <c r="T10" s="1112">
        <f>G10-F10</f>
        <v>228.04616000002716</v>
      </c>
    </row>
    <row r="11" spans="1:20" s="1112" customFormat="1" ht="17.25" customHeight="1">
      <c r="A11" s="1109"/>
      <c r="B11" s="1110" t="s">
        <v>12</v>
      </c>
      <c r="C11" s="1109"/>
      <c r="D11" s="1111"/>
      <c r="E11" s="1111"/>
      <c r="F11" s="1106"/>
      <c r="G11" s="1111"/>
      <c r="H11" s="1111"/>
      <c r="I11" s="1111"/>
      <c r="J11" s="1111"/>
      <c r="K11" s="1111"/>
      <c r="L11" s="1111"/>
      <c r="M11" s="1111"/>
      <c r="N11" s="1111"/>
      <c r="O11" s="1111"/>
      <c r="P11" s="1111"/>
      <c r="Q11" s="1111"/>
      <c r="R11" s="1108"/>
      <c r="S11" s="1108"/>
      <c r="T11" s="1112">
        <f aca="true" t="shared" si="2" ref="T11:T59">G11-F11</f>
        <v>0</v>
      </c>
    </row>
    <row r="12" spans="1:20" s="1116" customFormat="1" ht="17.25" customHeight="1">
      <c r="A12" s="1113"/>
      <c r="B12" s="1114" t="s">
        <v>1318</v>
      </c>
      <c r="C12" s="1113" t="s">
        <v>458</v>
      </c>
      <c r="D12" s="1115">
        <f>D18+D22+D26</f>
        <v>178116</v>
      </c>
      <c r="E12" s="1115">
        <f aca="true" t="shared" si="3" ref="E12:Q12">E18+E22+E26</f>
        <v>178971</v>
      </c>
      <c r="F12" s="1115">
        <f t="shared" si="3"/>
        <v>185349.35</v>
      </c>
      <c r="G12" s="1115">
        <f>G18+G22+G26</f>
        <v>185697.25316000002</v>
      </c>
      <c r="H12" s="1115">
        <f t="shared" si="3"/>
        <v>71311.57</v>
      </c>
      <c r="I12" s="1115">
        <f t="shared" si="3"/>
        <v>15035.740000000002</v>
      </c>
      <c r="J12" s="1115">
        <f t="shared" si="3"/>
        <v>19095.5</v>
      </c>
      <c r="K12" s="1115">
        <f t="shared" si="3"/>
        <v>12034.75</v>
      </c>
      <c r="L12" s="1115">
        <f t="shared" si="3"/>
        <v>16477.11</v>
      </c>
      <c r="M12" s="1115">
        <f t="shared" si="3"/>
        <v>14410.52</v>
      </c>
      <c r="N12" s="1115">
        <f t="shared" si="3"/>
        <v>6150.87116</v>
      </c>
      <c r="O12" s="1115">
        <f t="shared" si="3"/>
        <v>17933.59</v>
      </c>
      <c r="P12" s="1115">
        <f t="shared" si="3"/>
        <v>11057.5</v>
      </c>
      <c r="Q12" s="1115">
        <f t="shared" si="3"/>
        <v>2190.102</v>
      </c>
      <c r="R12" s="1108">
        <f>F12/D12*100</f>
        <v>104.06103325922433</v>
      </c>
      <c r="S12" s="1108">
        <f aca="true" t="shared" si="4" ref="S12:S30">G12/F12*100</f>
        <v>100.18770131106476</v>
      </c>
      <c r="T12" s="1112">
        <f t="shared" si="2"/>
        <v>347.9031600000162</v>
      </c>
    </row>
    <row r="13" spans="1:20" s="1116" customFormat="1" ht="17.25" customHeight="1">
      <c r="A13" s="1113"/>
      <c r="B13" s="1114" t="s">
        <v>1319</v>
      </c>
      <c r="C13" s="1113" t="s">
        <v>458</v>
      </c>
      <c r="D13" s="1115">
        <f>D18+D22</f>
        <v>144180.8</v>
      </c>
      <c r="E13" s="1115">
        <f aca="true" t="shared" si="5" ref="E13:Q13">E18+E22</f>
        <v>145629</v>
      </c>
      <c r="F13" s="1115">
        <f t="shared" si="5"/>
        <v>150973.41</v>
      </c>
      <c r="G13" s="1115">
        <f t="shared" si="5"/>
        <v>151932.70316</v>
      </c>
      <c r="H13" s="1115">
        <f t="shared" si="5"/>
        <v>67956.07</v>
      </c>
      <c r="I13" s="1115">
        <f t="shared" si="5"/>
        <v>13901.740000000002</v>
      </c>
      <c r="J13" s="1115">
        <f t="shared" si="5"/>
        <v>14573.5</v>
      </c>
      <c r="K13" s="1115">
        <f t="shared" si="5"/>
        <v>5914.75</v>
      </c>
      <c r="L13" s="1115">
        <f t="shared" si="5"/>
        <v>9910.710000000001</v>
      </c>
      <c r="M13" s="1115">
        <f t="shared" si="5"/>
        <v>11549.720000000001</v>
      </c>
      <c r="N13" s="1115">
        <f t="shared" si="5"/>
        <v>6069.74116</v>
      </c>
      <c r="O13" s="1115">
        <f t="shared" si="5"/>
        <v>10896.07</v>
      </c>
      <c r="P13" s="1115">
        <f t="shared" si="5"/>
        <v>9060</v>
      </c>
      <c r="Q13" s="1115">
        <f t="shared" si="5"/>
        <v>2100.402</v>
      </c>
      <c r="R13" s="1108">
        <f>F13/D13*100</f>
        <v>104.71117513566301</v>
      </c>
      <c r="S13" s="1108">
        <f t="shared" si="4"/>
        <v>100.63540537370123</v>
      </c>
      <c r="T13" s="1112">
        <f t="shared" si="2"/>
        <v>959.2931600000011</v>
      </c>
    </row>
    <row r="14" spans="1:20" s="1116" customFormat="1" ht="35.25" customHeight="1">
      <c r="A14" s="1113"/>
      <c r="B14" s="1117" t="s">
        <v>1320</v>
      </c>
      <c r="C14" s="1113" t="s">
        <v>21</v>
      </c>
      <c r="D14" s="1118">
        <f>D13/D10*100</f>
        <v>55.83942439779695</v>
      </c>
      <c r="E14" s="1118">
        <f aca="true" t="shared" si="6" ref="E14:Q14">E13/E10*100</f>
        <v>56.05643019361792</v>
      </c>
      <c r="F14" s="1118">
        <f t="shared" si="6"/>
        <v>57.05710362280049</v>
      </c>
      <c r="G14" s="1118">
        <f t="shared" si="6"/>
        <v>57.370202977705496</v>
      </c>
      <c r="H14" s="1118">
        <f t="shared" si="6"/>
        <v>71.90238189885112</v>
      </c>
      <c r="I14" s="1118">
        <f t="shared" si="6"/>
        <v>74.8542678284318</v>
      </c>
      <c r="J14" s="1118">
        <f t="shared" si="6"/>
        <v>39.17712841743057</v>
      </c>
      <c r="K14" s="1118">
        <f t="shared" si="6"/>
        <v>39.371952538649715</v>
      </c>
      <c r="L14" s="1118">
        <f t="shared" si="6"/>
        <v>51.3266017957327</v>
      </c>
      <c r="M14" s="1118">
        <f t="shared" si="6"/>
        <v>47.106105915038924</v>
      </c>
      <c r="N14" s="1118">
        <f t="shared" si="6"/>
        <v>84.02695713025963</v>
      </c>
      <c r="O14" s="1118">
        <f t="shared" si="6"/>
        <v>38.29701010386451</v>
      </c>
      <c r="P14" s="1118">
        <f t="shared" si="6"/>
        <v>53.17759614961335</v>
      </c>
      <c r="Q14" s="1118">
        <f t="shared" si="6"/>
        <v>70.39819654230021</v>
      </c>
      <c r="R14" s="1108">
        <f>F14/D14*100</f>
        <v>102.180680116487</v>
      </c>
      <c r="S14" s="1108">
        <f t="shared" si="4"/>
        <v>100.54874736890763</v>
      </c>
      <c r="T14" s="1112">
        <f t="shared" si="2"/>
        <v>0.31309935490500607</v>
      </c>
    </row>
    <row r="15" spans="1:21" s="1104" customFormat="1" ht="17.25" customHeight="1">
      <c r="A15" s="1099">
        <v>1</v>
      </c>
      <c r="B15" s="1100" t="s">
        <v>1321</v>
      </c>
      <c r="C15" s="1099"/>
      <c r="D15" s="1101"/>
      <c r="E15" s="1105"/>
      <c r="F15" s="1119"/>
      <c r="G15" s="1106"/>
      <c r="H15" s="1101"/>
      <c r="I15" s="1101"/>
      <c r="J15" s="1101"/>
      <c r="K15" s="1101"/>
      <c r="L15" s="1101"/>
      <c r="M15" s="1101"/>
      <c r="N15" s="1101"/>
      <c r="O15" s="1101"/>
      <c r="P15" s="1101"/>
      <c r="Q15" s="1101"/>
      <c r="R15" s="1101"/>
      <c r="S15" s="1101"/>
      <c r="T15" s="1112">
        <f t="shared" si="2"/>
        <v>0</v>
      </c>
      <c r="U15" s="1120"/>
    </row>
    <row r="16" spans="1:20" s="1112" customFormat="1" ht="17.25" customHeight="1">
      <c r="A16" s="1109"/>
      <c r="B16" s="1121" t="s">
        <v>536</v>
      </c>
      <c r="C16" s="1109" t="s">
        <v>537</v>
      </c>
      <c r="D16" s="1122">
        <v>9076.47</v>
      </c>
      <c r="E16" s="1103">
        <v>9182</v>
      </c>
      <c r="F16" s="1123">
        <f>'[3]Biểu 01'!F14</f>
        <v>9329.57</v>
      </c>
      <c r="G16" s="1103">
        <f>SUM(H16:Q16)</f>
        <v>9415.730000000001</v>
      </c>
      <c r="H16" s="1103">
        <v>4876.9</v>
      </c>
      <c r="I16" s="1103">
        <v>1028</v>
      </c>
      <c r="J16" s="1103">
        <v>1025</v>
      </c>
      <c r="K16" s="1103">
        <v>85</v>
      </c>
      <c r="L16" s="1103">
        <v>171.1</v>
      </c>
      <c r="M16" s="1103">
        <v>545</v>
      </c>
      <c r="N16" s="1106">
        <v>475.37</v>
      </c>
      <c r="O16" s="1103">
        <v>722</v>
      </c>
      <c r="P16" s="1103">
        <v>295</v>
      </c>
      <c r="Q16" s="1103">
        <v>192.36</v>
      </c>
      <c r="R16" s="1108">
        <f>F16/D16*100</f>
        <v>102.78852902064348</v>
      </c>
      <c r="S16" s="1108">
        <f t="shared" si="4"/>
        <v>100.92351523167736</v>
      </c>
      <c r="T16" s="1112">
        <f t="shared" si="2"/>
        <v>86.16000000000167</v>
      </c>
    </row>
    <row r="17" spans="1:20" s="1112" customFormat="1" ht="17.25" customHeight="1">
      <c r="A17" s="1109"/>
      <c r="B17" s="1121" t="s">
        <v>53</v>
      </c>
      <c r="C17" s="1109" t="s">
        <v>54</v>
      </c>
      <c r="D17" s="1124">
        <v>58.643635686561</v>
      </c>
      <c r="E17" s="1106">
        <v>58.74</v>
      </c>
      <c r="F17" s="1123">
        <f>'[3]Biểu 01'!F15</f>
        <v>59.17433493719433</v>
      </c>
      <c r="G17" s="1106">
        <f>G18*10/G16</f>
        <v>59.482240421082594</v>
      </c>
      <c r="H17" s="1103">
        <v>62</v>
      </c>
      <c r="I17" s="1103">
        <v>62.2785992217899</v>
      </c>
      <c r="J17" s="1103">
        <v>59</v>
      </c>
      <c r="K17" s="1103">
        <v>53.5</v>
      </c>
      <c r="L17" s="1103">
        <v>51</v>
      </c>
      <c r="M17" s="1103">
        <v>59.2</v>
      </c>
      <c r="N17" s="1103">
        <v>61.88</v>
      </c>
      <c r="O17" s="1103">
        <v>45.60000000000001</v>
      </c>
      <c r="P17" s="1103">
        <v>49.220338983050844</v>
      </c>
      <c r="Q17" s="1103">
        <v>56.180182990226655</v>
      </c>
      <c r="R17" s="1108">
        <f>F17/D17*100</f>
        <v>100.90495625726518</v>
      </c>
      <c r="S17" s="1108">
        <f t="shared" si="4"/>
        <v>100.52033619679048</v>
      </c>
      <c r="T17" s="1112">
        <f t="shared" si="2"/>
        <v>0.30790548388826267</v>
      </c>
    </row>
    <row r="18" spans="1:20" s="1112" customFormat="1" ht="17.25" customHeight="1">
      <c r="A18" s="1109"/>
      <c r="B18" s="1121" t="s">
        <v>1322</v>
      </c>
      <c r="C18" s="1109" t="s">
        <v>458</v>
      </c>
      <c r="D18" s="1125">
        <v>53227.7</v>
      </c>
      <c r="E18" s="1111">
        <v>53939</v>
      </c>
      <c r="F18" s="1123">
        <f>'[3]Biểu 01'!F16</f>
        <v>55207.11000000001</v>
      </c>
      <c r="G18" s="1111">
        <f>SUM(H18:Q18)</f>
        <v>56006.87156000001</v>
      </c>
      <c r="H18" s="1103">
        <f>H16*H17/10</f>
        <v>30236.78</v>
      </c>
      <c r="I18" s="1103">
        <f aca="true" t="shared" si="7" ref="I18:Q18">I16*I17/10</f>
        <v>6402.240000000002</v>
      </c>
      <c r="J18" s="1103">
        <f t="shared" si="7"/>
        <v>6047.5</v>
      </c>
      <c r="K18" s="1103">
        <f t="shared" si="7"/>
        <v>454.75</v>
      </c>
      <c r="L18" s="1103">
        <f t="shared" si="7"/>
        <v>872.61</v>
      </c>
      <c r="M18" s="1103">
        <f t="shared" si="7"/>
        <v>3226.4</v>
      </c>
      <c r="N18" s="1103">
        <f t="shared" si="7"/>
        <v>2941.58956</v>
      </c>
      <c r="O18" s="1103">
        <f t="shared" si="7"/>
        <v>3292.3200000000006</v>
      </c>
      <c r="P18" s="1103">
        <v>1452</v>
      </c>
      <c r="Q18" s="1103">
        <f t="shared" si="7"/>
        <v>1080.682</v>
      </c>
      <c r="R18" s="1108">
        <f>F18/D18*100</f>
        <v>103.71875921747514</v>
      </c>
      <c r="S18" s="1108">
        <f t="shared" si="4"/>
        <v>101.44865681250114</v>
      </c>
      <c r="T18" s="1112">
        <f t="shared" si="2"/>
        <v>799.761559999999</v>
      </c>
    </row>
    <row r="19" spans="1:20" s="1104" customFormat="1" ht="17.25" customHeight="1">
      <c r="A19" s="1099">
        <v>2</v>
      </c>
      <c r="B19" s="1100" t="s">
        <v>1323</v>
      </c>
      <c r="C19" s="1099"/>
      <c r="D19" s="1126"/>
      <c r="E19" s="1101"/>
      <c r="F19" s="1123"/>
      <c r="G19" s="1106"/>
      <c r="H19" s="1101"/>
      <c r="I19" s="1101"/>
      <c r="J19" s="1101"/>
      <c r="K19" s="1101"/>
      <c r="L19" s="1101"/>
      <c r="M19" s="1101"/>
      <c r="N19" s="1101"/>
      <c r="O19" s="1101"/>
      <c r="P19" s="1101"/>
      <c r="Q19" s="1101"/>
      <c r="R19" s="1108"/>
      <c r="S19" s="1108"/>
      <c r="T19" s="1112">
        <f t="shared" si="2"/>
        <v>0</v>
      </c>
    </row>
    <row r="20" spans="1:20" s="1112" customFormat="1" ht="17.25" customHeight="1">
      <c r="A20" s="1109"/>
      <c r="B20" s="1121" t="s">
        <v>536</v>
      </c>
      <c r="C20" s="1109" t="s">
        <v>537</v>
      </c>
      <c r="D20" s="1122">
        <v>17807.47</v>
      </c>
      <c r="E20" s="1103">
        <v>18020</v>
      </c>
      <c r="F20" s="1123">
        <f>'[3]Biểu 01'!F18</f>
        <v>18726.7</v>
      </c>
      <c r="G20" s="1103">
        <f>SUM(H20:Q20)</f>
        <v>18756.032</v>
      </c>
      <c r="H20" s="1103">
        <v>6393.1</v>
      </c>
      <c r="I20" s="1103">
        <v>1415</v>
      </c>
      <c r="J20" s="1103">
        <v>1740</v>
      </c>
      <c r="K20" s="1103">
        <v>1040</v>
      </c>
      <c r="L20" s="1103">
        <v>1923</v>
      </c>
      <c r="M20" s="1103">
        <v>1996</v>
      </c>
      <c r="N20" s="1103">
        <v>496.532</v>
      </c>
      <c r="O20" s="1103">
        <v>1975</v>
      </c>
      <c r="P20" s="1103">
        <v>1585</v>
      </c>
      <c r="Q20" s="1103">
        <v>192.4</v>
      </c>
      <c r="R20" s="1108">
        <f>F20/D20*100</f>
        <v>105.16204716335335</v>
      </c>
      <c r="S20" s="1108">
        <f t="shared" si="4"/>
        <v>100.15663197466718</v>
      </c>
      <c r="T20" s="1112">
        <f t="shared" si="2"/>
        <v>29.331999999998516</v>
      </c>
    </row>
    <row r="21" spans="1:20" s="1272" customFormat="1" ht="17.25" customHeight="1">
      <c r="A21" s="1109"/>
      <c r="B21" s="1121" t="s">
        <v>53</v>
      </c>
      <c r="C21" s="1109" t="s">
        <v>54</v>
      </c>
      <c r="D21" s="1124">
        <f>D22/D20*10</f>
        <v>51.075812566299426</v>
      </c>
      <c r="E21" s="1106">
        <v>50.88</v>
      </c>
      <c r="F21" s="1123">
        <f>'[3]Biểu 01'!F19</f>
        <v>51.13890861710819</v>
      </c>
      <c r="G21" s="1106">
        <f>G22*10/G20</f>
        <v>51.143990157406435</v>
      </c>
      <c r="H21" s="1295">
        <v>59</v>
      </c>
      <c r="I21" s="1295">
        <v>53</v>
      </c>
      <c r="J21" s="1103">
        <v>49</v>
      </c>
      <c r="K21" s="1103">
        <v>52.5</v>
      </c>
      <c r="L21" s="1103">
        <v>47</v>
      </c>
      <c r="M21" s="1103">
        <v>41.7</v>
      </c>
      <c r="N21" s="1295">
        <v>63</v>
      </c>
      <c r="O21" s="1103">
        <v>38.5</v>
      </c>
      <c r="P21" s="1103">
        <v>48</v>
      </c>
      <c r="Q21" s="1103">
        <v>53</v>
      </c>
      <c r="R21" s="1108">
        <f>F21/D21*100</f>
        <v>100.12353411064556</v>
      </c>
      <c r="S21" s="1108">
        <f t="shared" si="4"/>
        <v>100.00993673982425</v>
      </c>
      <c r="T21" s="1272">
        <f t="shared" si="2"/>
        <v>0.00508154029824226</v>
      </c>
    </row>
    <row r="22" spans="1:20" s="1112" customFormat="1" ht="17.25" customHeight="1">
      <c r="A22" s="1109"/>
      <c r="B22" s="1121" t="s">
        <v>1322</v>
      </c>
      <c r="C22" s="1109" t="s">
        <v>458</v>
      </c>
      <c r="D22" s="1125">
        <v>90953.1</v>
      </c>
      <c r="E22" s="1111">
        <v>91690</v>
      </c>
      <c r="F22" s="1123">
        <f>'[3]Biểu 01'!F20</f>
        <v>95766.3</v>
      </c>
      <c r="G22" s="1111">
        <f>SUM(H22:Q22)</f>
        <v>95925.8316</v>
      </c>
      <c r="H22" s="1103">
        <f>H20*H21/10</f>
        <v>37719.29</v>
      </c>
      <c r="I22" s="1103">
        <f aca="true" t="shared" si="8" ref="I22:Q22">I20*I21/10</f>
        <v>7499.5</v>
      </c>
      <c r="J22" s="1103">
        <f t="shared" si="8"/>
        <v>8526</v>
      </c>
      <c r="K22" s="1103">
        <f t="shared" si="8"/>
        <v>5460</v>
      </c>
      <c r="L22" s="1103">
        <f t="shared" si="8"/>
        <v>9038.1</v>
      </c>
      <c r="M22" s="1103">
        <f t="shared" si="8"/>
        <v>8323.320000000002</v>
      </c>
      <c r="N22" s="1103">
        <f t="shared" si="8"/>
        <v>3128.1516</v>
      </c>
      <c r="O22" s="1103">
        <f t="shared" si="8"/>
        <v>7603.75</v>
      </c>
      <c r="P22" s="1103">
        <f t="shared" si="8"/>
        <v>7608</v>
      </c>
      <c r="Q22" s="1103">
        <f t="shared" si="8"/>
        <v>1019.72</v>
      </c>
      <c r="R22" s="1108">
        <f>F22/D22*100</f>
        <v>105.29195816305325</v>
      </c>
      <c r="S22" s="1108">
        <f t="shared" si="4"/>
        <v>100.16658427860324</v>
      </c>
      <c r="T22" s="1112">
        <f t="shared" si="2"/>
        <v>159.53160000000207</v>
      </c>
    </row>
    <row r="23" spans="1:20" s="1104" customFormat="1" ht="17.25" customHeight="1">
      <c r="A23" s="1099">
        <v>3</v>
      </c>
      <c r="B23" s="1100" t="s">
        <v>1324</v>
      </c>
      <c r="C23" s="1099"/>
      <c r="D23" s="1126"/>
      <c r="E23" s="1101"/>
      <c r="F23" s="1123"/>
      <c r="G23" s="1103"/>
      <c r="H23" s="1101"/>
      <c r="I23" s="1101"/>
      <c r="J23" s="1101"/>
      <c r="K23" s="1101"/>
      <c r="L23" s="1101"/>
      <c r="M23" s="1101"/>
      <c r="N23" s="1101"/>
      <c r="O23" s="1101"/>
      <c r="P23" s="1101"/>
      <c r="Q23" s="1101"/>
      <c r="R23" s="1108"/>
      <c r="S23" s="1108"/>
      <c r="T23" s="1112">
        <f t="shared" si="2"/>
        <v>0</v>
      </c>
    </row>
    <row r="24" spans="1:20" s="1112" customFormat="1" ht="17.25" customHeight="1">
      <c r="A24" s="1109"/>
      <c r="B24" s="1121" t="s">
        <v>536</v>
      </c>
      <c r="C24" s="1109" t="s">
        <v>537</v>
      </c>
      <c r="D24" s="1122">
        <v>23278.6</v>
      </c>
      <c r="E24" s="1103">
        <v>22951</v>
      </c>
      <c r="F24" s="1123">
        <f>'[3]Biểu 01'!F22</f>
        <v>23247.079999999998</v>
      </c>
      <c r="G24" s="1111">
        <f>SUM(H24:Q24)</f>
        <v>23022.7</v>
      </c>
      <c r="H24" s="1103">
        <v>2237</v>
      </c>
      <c r="I24" s="1103">
        <v>810</v>
      </c>
      <c r="J24" s="1103">
        <v>3230</v>
      </c>
      <c r="K24" s="1103">
        <v>3600</v>
      </c>
      <c r="L24" s="1103">
        <v>4560</v>
      </c>
      <c r="M24" s="1103">
        <v>1920</v>
      </c>
      <c r="N24" s="1103">
        <v>42.7</v>
      </c>
      <c r="O24" s="1103">
        <v>4956</v>
      </c>
      <c r="P24" s="1103">
        <v>1598</v>
      </c>
      <c r="Q24" s="1103">
        <v>69</v>
      </c>
      <c r="R24" s="1108">
        <f aca="true" t="shared" si="9" ref="R24:R30">F24/D24*100</f>
        <v>99.86459666818452</v>
      </c>
      <c r="S24" s="1108">
        <f t="shared" si="4"/>
        <v>99.03480351080654</v>
      </c>
      <c r="T24" s="1112">
        <f>G24-F24</f>
        <v>-224.37999999999738</v>
      </c>
    </row>
    <row r="25" spans="1:20" s="1112" customFormat="1" ht="17.25" customHeight="1">
      <c r="A25" s="1109"/>
      <c r="B25" s="1121" t="s">
        <v>53</v>
      </c>
      <c r="C25" s="1109" t="s">
        <v>54</v>
      </c>
      <c r="D25" s="1124">
        <f>D26/D24*10</f>
        <v>14.57785262000292</v>
      </c>
      <c r="E25" s="1106">
        <v>14.53</v>
      </c>
      <c r="F25" s="1123">
        <f>'[3]Biểu 01'!F23</f>
        <v>14.787207683717696</v>
      </c>
      <c r="G25" s="1106">
        <f>G26*10/G24</f>
        <v>14.665764658358924</v>
      </c>
      <c r="H25" s="1103">
        <v>15</v>
      </c>
      <c r="I25" s="1103">
        <v>14</v>
      </c>
      <c r="J25" s="1103">
        <v>14</v>
      </c>
      <c r="K25" s="1103">
        <v>17</v>
      </c>
      <c r="L25" s="1103">
        <v>14.4</v>
      </c>
      <c r="M25" s="1103">
        <v>14.9</v>
      </c>
      <c r="N25" s="1103">
        <v>19</v>
      </c>
      <c r="O25" s="1103">
        <v>14.2</v>
      </c>
      <c r="P25" s="1103">
        <v>12.5</v>
      </c>
      <c r="Q25" s="1103">
        <v>13</v>
      </c>
      <c r="R25" s="1108">
        <f t="shared" si="9"/>
        <v>101.43611730185494</v>
      </c>
      <c r="S25" s="1108">
        <f t="shared" si="4"/>
        <v>99.17872915592784</v>
      </c>
      <c r="T25" s="1112">
        <f t="shared" si="2"/>
        <v>-0.12144302535877216</v>
      </c>
    </row>
    <row r="26" spans="1:20" s="1112" customFormat="1" ht="17.25" customHeight="1">
      <c r="A26" s="1109"/>
      <c r="B26" s="1121" t="s">
        <v>1322</v>
      </c>
      <c r="C26" s="1109" t="s">
        <v>458</v>
      </c>
      <c r="D26" s="1125">
        <v>33935.2</v>
      </c>
      <c r="E26" s="1111">
        <v>33342</v>
      </c>
      <c r="F26" s="1123">
        <f>'[3]Biểu 01'!F24</f>
        <v>34375.939999999995</v>
      </c>
      <c r="G26" s="1111">
        <f>SUM(H26:Q26)</f>
        <v>33764.55</v>
      </c>
      <c r="H26" s="1103">
        <f aca="true" t="shared" si="10" ref="H26:Q26">H24*H25/10</f>
        <v>3355.5</v>
      </c>
      <c r="I26" s="1103">
        <f t="shared" si="10"/>
        <v>1134</v>
      </c>
      <c r="J26" s="1103">
        <f t="shared" si="10"/>
        <v>4522</v>
      </c>
      <c r="K26" s="1103">
        <f t="shared" si="10"/>
        <v>6120</v>
      </c>
      <c r="L26" s="1103">
        <f t="shared" si="10"/>
        <v>6566.4</v>
      </c>
      <c r="M26" s="1103">
        <f t="shared" si="10"/>
        <v>2860.8</v>
      </c>
      <c r="N26" s="1103">
        <f t="shared" si="10"/>
        <v>81.13000000000001</v>
      </c>
      <c r="O26" s="1103">
        <f t="shared" si="10"/>
        <v>7037.5199999999995</v>
      </c>
      <c r="P26" s="1103">
        <f t="shared" si="10"/>
        <v>1997.5</v>
      </c>
      <c r="Q26" s="1103">
        <f t="shared" si="10"/>
        <v>89.7</v>
      </c>
      <c r="R26" s="1108">
        <f t="shared" si="9"/>
        <v>101.29876941936395</v>
      </c>
      <c r="S26" s="1108">
        <f t="shared" si="4"/>
        <v>98.22145954408813</v>
      </c>
      <c r="T26" s="1112">
        <f t="shared" si="2"/>
        <v>-611.3899999999921</v>
      </c>
    </row>
    <row r="27" spans="1:20" s="1104" customFormat="1" ht="17.25" customHeight="1">
      <c r="A27" s="1099">
        <v>4</v>
      </c>
      <c r="B27" s="1100" t="s">
        <v>1325</v>
      </c>
      <c r="C27" s="1099"/>
      <c r="D27" s="1105"/>
      <c r="E27" s="1101"/>
      <c r="F27" s="1123"/>
      <c r="G27" s="1103"/>
      <c r="H27" s="1101"/>
      <c r="I27" s="1101"/>
      <c r="J27" s="1101"/>
      <c r="K27" s="1101"/>
      <c r="L27" s="1101"/>
      <c r="M27" s="1101"/>
      <c r="N27" s="1101"/>
      <c r="O27" s="1101"/>
      <c r="P27" s="1101">
        <v>0</v>
      </c>
      <c r="Q27" s="1101"/>
      <c r="R27" s="1108"/>
      <c r="S27" s="1108"/>
      <c r="T27" s="1112">
        <f t="shared" si="2"/>
        <v>0</v>
      </c>
    </row>
    <row r="28" spans="1:20" s="1112" customFormat="1" ht="17.25" customHeight="1">
      <c r="A28" s="1109"/>
      <c r="B28" s="1121" t="s">
        <v>536</v>
      </c>
      <c r="C28" s="1109" t="s">
        <v>537</v>
      </c>
      <c r="D28" s="1103">
        <v>30594.7</v>
      </c>
      <c r="E28" s="1103">
        <v>30611</v>
      </c>
      <c r="F28" s="1123">
        <f>'[3]Biểu 01'!F26</f>
        <v>29765.450000000004</v>
      </c>
      <c r="G28" s="1111">
        <f>SUM(H28:Q28)</f>
        <v>29374.03</v>
      </c>
      <c r="H28" s="1106">
        <v>4640</v>
      </c>
      <c r="I28" s="1103">
        <v>1040</v>
      </c>
      <c r="J28" s="1103">
        <v>6705</v>
      </c>
      <c r="K28" s="1103">
        <v>1660</v>
      </c>
      <c r="L28" s="1103">
        <v>1770</v>
      </c>
      <c r="M28" s="1103">
        <v>5320</v>
      </c>
      <c r="N28" s="1103">
        <v>346.03</v>
      </c>
      <c r="O28" s="1103">
        <v>4573</v>
      </c>
      <c r="P28" s="1103">
        <v>2975</v>
      </c>
      <c r="Q28" s="1103">
        <v>345</v>
      </c>
      <c r="R28" s="1108">
        <f t="shared" si="9"/>
        <v>97.28956322500304</v>
      </c>
      <c r="S28" s="1108">
        <f t="shared" si="4"/>
        <v>98.68498544453382</v>
      </c>
      <c r="T28" s="1112">
        <f t="shared" si="2"/>
        <v>-391.42000000000553</v>
      </c>
    </row>
    <row r="29" spans="1:20" s="1112" customFormat="1" ht="17.25" customHeight="1">
      <c r="A29" s="1109"/>
      <c r="B29" s="1121" t="s">
        <v>53</v>
      </c>
      <c r="C29" s="1109" t="s">
        <v>54</v>
      </c>
      <c r="D29" s="1106">
        <v>26.177769352208063</v>
      </c>
      <c r="E29" s="1106">
        <v>26.4</v>
      </c>
      <c r="F29" s="1123">
        <f>'[3]Biểu 01'!F27</f>
        <v>26.625231602411517</v>
      </c>
      <c r="G29" s="1106">
        <f>G30*10/G28</f>
        <v>26.939219099320045</v>
      </c>
      <c r="H29" s="1103">
        <v>50</v>
      </c>
      <c r="I29" s="1103">
        <v>34</v>
      </c>
      <c r="J29" s="1103">
        <v>27</v>
      </c>
      <c r="K29" s="1103">
        <v>18</v>
      </c>
      <c r="L29" s="1103">
        <v>16</v>
      </c>
      <c r="M29" s="1103">
        <v>19</v>
      </c>
      <c r="N29" s="1103">
        <v>31</v>
      </c>
      <c r="O29" s="1103">
        <v>23</v>
      </c>
      <c r="P29" s="1103">
        <v>20.1</v>
      </c>
      <c r="Q29" s="1103">
        <v>23</v>
      </c>
      <c r="R29" s="1108">
        <f t="shared" si="9"/>
        <v>101.70932153990313</v>
      </c>
      <c r="S29" s="1108">
        <f t="shared" si="4"/>
        <v>101.179285504807</v>
      </c>
      <c r="T29" s="1112">
        <f t="shared" si="2"/>
        <v>0.3139874969085277</v>
      </c>
    </row>
    <row r="30" spans="1:20" s="1112" customFormat="1" ht="17.25" customHeight="1">
      <c r="A30" s="1109"/>
      <c r="B30" s="1121" t="s">
        <v>1322</v>
      </c>
      <c r="C30" s="1109" t="s">
        <v>458</v>
      </c>
      <c r="D30" s="1111">
        <v>80090.1</v>
      </c>
      <c r="E30" s="1111">
        <v>80819</v>
      </c>
      <c r="F30" s="1123">
        <f>'[3]Biểu 01'!F28</f>
        <v>79251.2</v>
      </c>
      <c r="G30" s="1111">
        <f>SUM(H30:Q30)</f>
        <v>79131.343</v>
      </c>
      <c r="H30" s="1103">
        <f>H28*H29/10</f>
        <v>23200</v>
      </c>
      <c r="I30" s="1103">
        <f aca="true" t="shared" si="11" ref="I30:Q30">I28*I29/10</f>
        <v>3536</v>
      </c>
      <c r="J30" s="1103">
        <f t="shared" si="11"/>
        <v>18103.5</v>
      </c>
      <c r="K30" s="1103">
        <f t="shared" si="11"/>
        <v>2988</v>
      </c>
      <c r="L30" s="1103">
        <f t="shared" si="11"/>
        <v>2832</v>
      </c>
      <c r="M30" s="1103">
        <f t="shared" si="11"/>
        <v>10108</v>
      </c>
      <c r="N30" s="1103">
        <f t="shared" si="11"/>
        <v>1072.6929999999998</v>
      </c>
      <c r="O30" s="1103">
        <f t="shared" si="11"/>
        <v>10517.9</v>
      </c>
      <c r="P30" s="1103">
        <f t="shared" si="11"/>
        <v>5979.750000000001</v>
      </c>
      <c r="Q30" s="1103">
        <f t="shared" si="11"/>
        <v>793.5</v>
      </c>
      <c r="R30" s="1108">
        <f t="shared" si="9"/>
        <v>98.95255468528569</v>
      </c>
      <c r="S30" s="1108">
        <f t="shared" si="4"/>
        <v>99.8487631733021</v>
      </c>
      <c r="T30" s="1112">
        <f t="shared" si="2"/>
        <v>-119.85700000000361</v>
      </c>
    </row>
    <row r="31" spans="1:20" s="1280" customFormat="1" ht="17.25" customHeight="1">
      <c r="A31" s="1273" t="s">
        <v>117</v>
      </c>
      <c r="B31" s="1274" t="s">
        <v>1401</v>
      </c>
      <c r="C31" s="1273"/>
      <c r="D31" s="1275"/>
      <c r="E31" s="1275"/>
      <c r="F31" s="1276"/>
      <c r="G31" s="1277"/>
      <c r="H31" s="1275"/>
      <c r="I31" s="1275"/>
      <c r="J31" s="1275"/>
      <c r="K31" s="1275"/>
      <c r="L31" s="1275"/>
      <c r="M31" s="1275"/>
      <c r="N31" s="1275"/>
      <c r="O31" s="1275"/>
      <c r="P31" s="1275"/>
      <c r="Q31" s="1275"/>
      <c r="R31" s="1278"/>
      <c r="S31" s="1278"/>
      <c r="T31" s="1279">
        <f t="shared" si="2"/>
        <v>0</v>
      </c>
    </row>
    <row r="32" spans="1:20" s="1285" customFormat="1" ht="17.25" customHeight="1">
      <c r="A32" s="1281" t="s">
        <v>960</v>
      </c>
      <c r="B32" s="1282" t="s">
        <v>1326</v>
      </c>
      <c r="C32" s="1281"/>
      <c r="D32" s="1283"/>
      <c r="E32" s="1283"/>
      <c r="F32" s="1276"/>
      <c r="G32" s="1284"/>
      <c r="H32" s="1283"/>
      <c r="I32" s="1283"/>
      <c r="J32" s="1283"/>
      <c r="K32" s="1283"/>
      <c r="L32" s="1283"/>
      <c r="M32" s="1283"/>
      <c r="N32" s="1283"/>
      <c r="O32" s="1283"/>
      <c r="P32" s="1283"/>
      <c r="Q32" s="1283"/>
      <c r="R32" s="1278"/>
      <c r="S32" s="1278"/>
      <c r="T32" s="1279">
        <f t="shared" si="2"/>
        <v>0</v>
      </c>
    </row>
    <row r="33" spans="1:20" s="1112" customFormat="1" ht="17.25" customHeight="1">
      <c r="A33" s="1109"/>
      <c r="B33" s="1110" t="s">
        <v>1327</v>
      </c>
      <c r="C33" s="1109" t="s">
        <v>537</v>
      </c>
      <c r="D33" s="1103">
        <v>594.93</v>
      </c>
      <c r="E33" s="1103">
        <v>594.93</v>
      </c>
      <c r="F33" s="1123">
        <f>'[3]Biểu 01'!F41</f>
        <v>596.89</v>
      </c>
      <c r="G33" s="1106">
        <f>SUM(H33:Q33)</f>
        <v>596.89</v>
      </c>
      <c r="H33" s="1103"/>
      <c r="I33" s="1103"/>
      <c r="J33" s="1103"/>
      <c r="K33" s="1103"/>
      <c r="L33" s="1103">
        <v>1</v>
      </c>
      <c r="M33" s="1106">
        <v>595.89</v>
      </c>
      <c r="N33" s="1103"/>
      <c r="O33" s="1103"/>
      <c r="P33" s="1103"/>
      <c r="Q33" s="1103"/>
      <c r="R33" s="1108">
        <f aca="true" t="shared" si="12" ref="R33:R39">F33/D33*100</f>
        <v>100.329450523591</v>
      </c>
      <c r="S33" s="1108">
        <f aca="true" t="shared" si="13" ref="S33:S59">G33/F33*100</f>
        <v>100</v>
      </c>
      <c r="T33" s="1112">
        <f t="shared" si="2"/>
        <v>0</v>
      </c>
    </row>
    <row r="34" spans="1:20" s="1112" customFormat="1" ht="17.25" customHeight="1">
      <c r="A34" s="1109"/>
      <c r="B34" s="1110" t="s">
        <v>1328</v>
      </c>
      <c r="C34" s="1109" t="s">
        <v>537</v>
      </c>
      <c r="D34" s="1103">
        <v>17.53</v>
      </c>
      <c r="E34" s="1103"/>
      <c r="F34" s="1123">
        <f>'[3]Biểu 01'!F42</f>
        <v>2</v>
      </c>
      <c r="G34" s="1111"/>
      <c r="H34" s="1103"/>
      <c r="I34" s="1103"/>
      <c r="J34" s="1103"/>
      <c r="K34" s="1103"/>
      <c r="L34" s="1103"/>
      <c r="M34" s="1103"/>
      <c r="N34" s="1103"/>
      <c r="O34" s="1103"/>
      <c r="P34" s="1103"/>
      <c r="Q34" s="1103"/>
      <c r="R34" s="1108"/>
      <c r="S34" s="1108"/>
      <c r="T34" s="1112">
        <f t="shared" si="2"/>
        <v>-2</v>
      </c>
    </row>
    <row r="35" spans="1:20" s="1279" customFormat="1" ht="17.25" customHeight="1">
      <c r="A35" s="1286"/>
      <c r="B35" s="1287" t="s">
        <v>1329</v>
      </c>
      <c r="C35" s="1286" t="s">
        <v>458</v>
      </c>
      <c r="D35" s="1288">
        <v>74.1</v>
      </c>
      <c r="E35" s="1288">
        <v>95</v>
      </c>
      <c r="F35" s="1289">
        <f>'[3]Biểu 01'!F43</f>
        <v>75.6</v>
      </c>
      <c r="G35" s="1290">
        <v>80</v>
      </c>
      <c r="H35" s="1290">
        <v>0</v>
      </c>
      <c r="I35" s="1290"/>
      <c r="J35" s="1290"/>
      <c r="K35" s="1290"/>
      <c r="L35" s="1290"/>
      <c r="M35" s="1290">
        <v>80</v>
      </c>
      <c r="N35" s="1290"/>
      <c r="O35" s="1290"/>
      <c r="P35" s="1290"/>
      <c r="Q35" s="1290"/>
      <c r="R35" s="1278">
        <f t="shared" si="12"/>
        <v>102.02429149797571</v>
      </c>
      <c r="S35" s="1278">
        <f t="shared" si="13"/>
        <v>105.82010582010584</v>
      </c>
      <c r="T35" s="1279">
        <f t="shared" si="2"/>
        <v>4.400000000000006</v>
      </c>
    </row>
    <row r="36" spans="1:20" s="1129" customFormat="1" ht="17.25" customHeight="1">
      <c r="A36" s="1127" t="s">
        <v>540</v>
      </c>
      <c r="B36" s="1130" t="s">
        <v>1330</v>
      </c>
      <c r="C36" s="1127"/>
      <c r="D36" s="1128"/>
      <c r="E36" s="1128"/>
      <c r="F36" s="1123"/>
      <c r="G36" s="1118"/>
      <c r="H36" s="1128">
        <v>0</v>
      </c>
      <c r="I36" s="1128"/>
      <c r="J36" s="1128"/>
      <c r="K36" s="1128"/>
      <c r="L36" s="1128"/>
      <c r="M36" s="1128"/>
      <c r="N36" s="1128"/>
      <c r="O36" s="1128"/>
      <c r="P36" s="1128"/>
      <c r="Q36" s="1128"/>
      <c r="R36" s="1108"/>
      <c r="S36" s="1108"/>
      <c r="T36" s="1112">
        <f t="shared" si="2"/>
        <v>0</v>
      </c>
    </row>
    <row r="37" spans="1:20" s="1112" customFormat="1" ht="17.25" customHeight="1">
      <c r="A37" s="1109"/>
      <c r="B37" s="1110" t="s">
        <v>1327</v>
      </c>
      <c r="C37" s="1109" t="s">
        <v>537</v>
      </c>
      <c r="D37" s="1103">
        <v>3939.7</v>
      </c>
      <c r="E37" s="1103">
        <v>3979.7</v>
      </c>
      <c r="F37" s="1123">
        <f>'[3]Biểu 01'!F45</f>
        <v>3994.22</v>
      </c>
      <c r="G37" s="1106">
        <f>SUM(H37:Q37)</f>
        <v>4025.19</v>
      </c>
      <c r="H37" s="1103">
        <v>3</v>
      </c>
      <c r="I37" s="1103">
        <v>3417</v>
      </c>
      <c r="J37" s="1103">
        <v>457.3</v>
      </c>
      <c r="K37" s="1103">
        <v>116.14</v>
      </c>
      <c r="L37" s="1106">
        <v>4.99</v>
      </c>
      <c r="M37" s="1103">
        <v>2.5</v>
      </c>
      <c r="N37" s="1106">
        <v>24.26</v>
      </c>
      <c r="O37" s="1103"/>
      <c r="P37" s="1103"/>
      <c r="Q37" s="1103"/>
      <c r="R37" s="1108">
        <f t="shared" si="12"/>
        <v>101.38386171535905</v>
      </c>
      <c r="S37" s="1108">
        <f t="shared" si="13"/>
        <v>100.7753704102428</v>
      </c>
      <c r="T37" s="1112">
        <f t="shared" si="2"/>
        <v>30.970000000000255</v>
      </c>
    </row>
    <row r="38" spans="1:20" s="1112" customFormat="1" ht="17.25" customHeight="1">
      <c r="A38" s="1109"/>
      <c r="B38" s="1110" t="s">
        <v>1328</v>
      </c>
      <c r="C38" s="1109" t="s">
        <v>537</v>
      </c>
      <c r="D38" s="1103">
        <v>87.3</v>
      </c>
      <c r="E38" s="1103">
        <v>40</v>
      </c>
      <c r="F38" s="1123">
        <f>'[3]Biểu 01'!F46</f>
        <v>75.6</v>
      </c>
      <c r="G38" s="1111">
        <f>SUM(H38:Q38)</f>
        <v>30</v>
      </c>
      <c r="H38" s="1103">
        <v>0</v>
      </c>
      <c r="I38" s="1103">
        <v>30</v>
      </c>
      <c r="J38" s="1103"/>
      <c r="K38" s="1103">
        <v>0</v>
      </c>
      <c r="L38" s="1103">
        <v>0</v>
      </c>
      <c r="M38" s="1103"/>
      <c r="N38" s="1103">
        <v>0</v>
      </c>
      <c r="O38" s="1103"/>
      <c r="P38" s="1103"/>
      <c r="Q38" s="1103"/>
      <c r="R38" s="1108">
        <f t="shared" si="12"/>
        <v>86.59793814432989</v>
      </c>
      <c r="S38" s="1108">
        <f t="shared" si="13"/>
        <v>39.682539682539684</v>
      </c>
      <c r="T38" s="1112">
        <f t="shared" si="2"/>
        <v>-45.599999999999994</v>
      </c>
    </row>
    <row r="39" spans="1:20" s="1112" customFormat="1" ht="17.25" customHeight="1">
      <c r="A39" s="1109"/>
      <c r="B39" s="1110" t="s">
        <v>446</v>
      </c>
      <c r="C39" s="1109" t="s">
        <v>458</v>
      </c>
      <c r="D39" s="1103">
        <v>7964.6</v>
      </c>
      <c r="E39" s="1103">
        <v>6105</v>
      </c>
      <c r="F39" s="1123">
        <f>'[3]Biểu 01'!F47</f>
        <v>3312.94</v>
      </c>
      <c r="G39" s="1111">
        <f>SUM(H39:Q39)</f>
        <v>6921.900000000001</v>
      </c>
      <c r="H39" s="1103">
        <v>0</v>
      </c>
      <c r="I39" s="1103">
        <v>6209.6</v>
      </c>
      <c r="J39" s="1103">
        <v>610</v>
      </c>
      <c r="K39" s="1103">
        <v>50</v>
      </c>
      <c r="L39" s="1103">
        <v>0.3</v>
      </c>
      <c r="M39" s="1103"/>
      <c r="N39" s="1103">
        <v>52</v>
      </c>
      <c r="O39" s="1103"/>
      <c r="P39" s="1103"/>
      <c r="Q39" s="1103"/>
      <c r="R39" s="1108">
        <f t="shared" si="12"/>
        <v>41.595811465735885</v>
      </c>
      <c r="S39" s="1108">
        <f t="shared" si="13"/>
        <v>208.9352659571257</v>
      </c>
      <c r="T39" s="1112">
        <f t="shared" si="2"/>
        <v>3608.9600000000005</v>
      </c>
    </row>
    <row r="40" spans="1:20" s="1285" customFormat="1" ht="17.25" customHeight="1">
      <c r="A40" s="1281" t="s">
        <v>541</v>
      </c>
      <c r="B40" s="1282" t="s">
        <v>1331</v>
      </c>
      <c r="C40" s="1281"/>
      <c r="D40" s="1283"/>
      <c r="E40" s="1283"/>
      <c r="F40" s="1276"/>
      <c r="G40" s="1284"/>
      <c r="H40" s="1283"/>
      <c r="I40" s="1283"/>
      <c r="J40" s="1283"/>
      <c r="K40" s="1283"/>
      <c r="L40" s="1283">
        <v>0</v>
      </c>
      <c r="M40" s="1283"/>
      <c r="N40" s="1283">
        <v>0</v>
      </c>
      <c r="O40" s="1283"/>
      <c r="P40" s="1283"/>
      <c r="Q40" s="1283"/>
      <c r="R40" s="1278"/>
      <c r="S40" s="1278"/>
      <c r="T40" s="1279">
        <f t="shared" si="2"/>
        <v>0</v>
      </c>
    </row>
    <row r="41" spans="1:20" s="1279" customFormat="1" ht="17.25" customHeight="1">
      <c r="A41" s="1286"/>
      <c r="B41" s="1287" t="s">
        <v>1402</v>
      </c>
      <c r="C41" s="1286" t="s">
        <v>537</v>
      </c>
      <c r="D41" s="1290">
        <v>5172.6</v>
      </c>
      <c r="E41" s="1290">
        <v>5172.6</v>
      </c>
      <c r="F41" s="1276">
        <f>'[3]Biểu 01'!F49</f>
        <v>5126.62</v>
      </c>
      <c r="G41" s="1290">
        <f>SUM(H41:Q41)</f>
        <v>5126.58</v>
      </c>
      <c r="H41" s="1290">
        <v>1038.63</v>
      </c>
      <c r="I41" s="1290">
        <v>212</v>
      </c>
      <c r="J41" s="1290">
        <v>1320.3</v>
      </c>
      <c r="K41" s="1290">
        <v>1182.79</v>
      </c>
      <c r="L41" s="1290"/>
      <c r="M41" s="1290"/>
      <c r="N41" s="1291">
        <v>90.18</v>
      </c>
      <c r="O41" s="1290"/>
      <c r="P41" s="1290">
        <v>1282.68</v>
      </c>
      <c r="Q41" s="1290"/>
      <c r="R41" s="1278">
        <f>F41/D41*100</f>
        <v>99.11108533426129</v>
      </c>
      <c r="S41" s="1278">
        <f t="shared" si="13"/>
        <v>99.99921975882745</v>
      </c>
      <c r="T41" s="1279">
        <f t="shared" si="2"/>
        <v>-0.03999999999996362</v>
      </c>
    </row>
    <row r="42" spans="1:28" s="1104" customFormat="1" ht="17.25" customHeight="1">
      <c r="A42" s="1099" t="s">
        <v>122</v>
      </c>
      <c r="B42" s="1100" t="s">
        <v>542</v>
      </c>
      <c r="C42" s="1099"/>
      <c r="D42" s="1131"/>
      <c r="E42" s="1131"/>
      <c r="F42" s="1132"/>
      <c r="G42" s="1111"/>
      <c r="H42" s="1105"/>
      <c r="I42" s="1133"/>
      <c r="J42" s="1101"/>
      <c r="K42" s="1101"/>
      <c r="L42" s="1101"/>
      <c r="M42" s="1101"/>
      <c r="N42" s="1101"/>
      <c r="O42" s="1101"/>
      <c r="P42" s="1101"/>
      <c r="Q42" s="1101"/>
      <c r="R42" s="1133"/>
      <c r="S42" s="1108"/>
      <c r="T42" s="1112">
        <f t="shared" si="2"/>
        <v>0</v>
      </c>
      <c r="V42" s="1120">
        <f>V43/U43</f>
        <v>1.0187914265539941</v>
      </c>
      <c r="X42" s="1134"/>
      <c r="Y42" s="1134"/>
      <c r="Z42" s="1134"/>
      <c r="AA42" s="1134"/>
      <c r="AB42" s="1134"/>
    </row>
    <row r="43" spans="1:28" s="1112" customFormat="1" ht="17.25" customHeight="1">
      <c r="A43" s="1109" t="s">
        <v>960</v>
      </c>
      <c r="B43" s="1110" t="s">
        <v>1332</v>
      </c>
      <c r="C43" s="1109" t="s">
        <v>543</v>
      </c>
      <c r="D43" s="1111">
        <v>125350</v>
      </c>
      <c r="E43" s="1111">
        <v>126904</v>
      </c>
      <c r="F43" s="1165">
        <v>128646</v>
      </c>
      <c r="G43" s="1111">
        <v>130754</v>
      </c>
      <c r="H43" s="1111">
        <v>26817</v>
      </c>
      <c r="I43" s="1111">
        <v>7228</v>
      </c>
      <c r="J43" s="1111">
        <v>22040</v>
      </c>
      <c r="K43" s="1111">
        <v>9211</v>
      </c>
      <c r="L43" s="1111">
        <v>21760</v>
      </c>
      <c r="M43" s="1111">
        <v>13508</v>
      </c>
      <c r="N43" s="1111">
        <v>1025</v>
      </c>
      <c r="O43" s="1111">
        <v>13845</v>
      </c>
      <c r="P43" s="1111">
        <v>13790</v>
      </c>
      <c r="Q43" s="1111">
        <v>1530</v>
      </c>
      <c r="R43" s="1108">
        <f>F43/D43*100</f>
        <v>102.6294375747906</v>
      </c>
      <c r="S43" s="1108">
        <f>G43/F43*100</f>
        <v>101.63860516456012</v>
      </c>
      <c r="T43" s="1112">
        <f>G43-F43</f>
        <v>2108</v>
      </c>
      <c r="U43" s="1112">
        <f>D43+D44+D45</f>
        <v>570739</v>
      </c>
      <c r="V43" s="1112">
        <f>F43+F44+F45</f>
        <v>581464</v>
      </c>
      <c r="W43" s="1112">
        <f>E43+E44+E45</f>
        <v>594480</v>
      </c>
      <c r="X43" s="1135">
        <f>F43/E43*100</f>
        <v>101.37269116812708</v>
      </c>
      <c r="Y43" s="1136">
        <f>100-X43</f>
        <v>-1.3726911681270764</v>
      </c>
      <c r="Z43" s="1136"/>
      <c r="AA43" s="1136"/>
      <c r="AB43" s="1136"/>
    </row>
    <row r="44" spans="1:28" s="1112" customFormat="1" ht="17.25" customHeight="1">
      <c r="A44" s="1109" t="s">
        <v>963</v>
      </c>
      <c r="B44" s="1110" t="s">
        <v>1333</v>
      </c>
      <c r="C44" s="1109" t="s">
        <v>543</v>
      </c>
      <c r="D44" s="1111">
        <v>61877</v>
      </c>
      <c r="E44" s="1111">
        <v>65243</v>
      </c>
      <c r="F44" s="1165">
        <v>68441</v>
      </c>
      <c r="G44" s="1111">
        <v>71337</v>
      </c>
      <c r="H44" s="1111">
        <v>15994</v>
      </c>
      <c r="I44" s="1111">
        <v>8306</v>
      </c>
      <c r="J44" s="1111">
        <v>8832</v>
      </c>
      <c r="K44" s="1111">
        <v>4839</v>
      </c>
      <c r="L44" s="1111">
        <v>4937</v>
      </c>
      <c r="M44" s="1111">
        <v>2783</v>
      </c>
      <c r="N44" s="1111">
        <v>333</v>
      </c>
      <c r="O44" s="1111">
        <v>21897</v>
      </c>
      <c r="P44" s="1111">
        <v>3048</v>
      </c>
      <c r="Q44" s="1111">
        <v>368</v>
      </c>
      <c r="R44" s="1108">
        <f>F44/D44*100</f>
        <v>110.60814195904779</v>
      </c>
      <c r="S44" s="1108">
        <f>G44/F44*100</f>
        <v>104.23138177408278</v>
      </c>
      <c r="T44" s="1112">
        <f>G44-F44</f>
        <v>2896</v>
      </c>
      <c r="X44" s="1135">
        <f>F44/E44*100</f>
        <v>104.9016752755085</v>
      </c>
      <c r="Y44" s="1136"/>
      <c r="Z44" s="1136"/>
      <c r="AA44" s="1136"/>
      <c r="AB44" s="1136"/>
    </row>
    <row r="45" spans="1:28" s="1112" customFormat="1" ht="17.25" customHeight="1">
      <c r="A45" s="1109" t="s">
        <v>966</v>
      </c>
      <c r="B45" s="1110" t="s">
        <v>1334</v>
      </c>
      <c r="C45" s="1109" t="s">
        <v>543</v>
      </c>
      <c r="D45" s="1111">
        <v>383512</v>
      </c>
      <c r="E45" s="1111">
        <v>402333</v>
      </c>
      <c r="F45" s="1165">
        <v>384377</v>
      </c>
      <c r="G45" s="1111">
        <v>404707</v>
      </c>
      <c r="H45" s="1111">
        <v>92655</v>
      </c>
      <c r="I45" s="1111">
        <v>36738</v>
      </c>
      <c r="J45" s="1111">
        <v>68624</v>
      </c>
      <c r="K45" s="1111">
        <v>16418</v>
      </c>
      <c r="L45" s="1111">
        <v>45723</v>
      </c>
      <c r="M45" s="1111">
        <v>63221</v>
      </c>
      <c r="N45" s="1111">
        <v>9000</v>
      </c>
      <c r="O45" s="1111">
        <v>30781</v>
      </c>
      <c r="P45" s="1111">
        <v>35317</v>
      </c>
      <c r="Q45" s="1111">
        <v>6230</v>
      </c>
      <c r="R45" s="1108">
        <f>F45/D45*100</f>
        <v>100.22554704937525</v>
      </c>
      <c r="S45" s="1108">
        <f>G45/F45*100</f>
        <v>105.28907817065016</v>
      </c>
      <c r="T45" s="1112">
        <f>G45-F45</f>
        <v>20330</v>
      </c>
      <c r="X45" s="1135">
        <f>F45/E45*100</f>
        <v>95.53703027094471</v>
      </c>
      <c r="Y45" s="1136"/>
      <c r="Z45" s="1136"/>
      <c r="AA45" s="1136"/>
      <c r="AB45" s="1136"/>
    </row>
    <row r="46" spans="1:28" s="1112" customFormat="1" ht="15" customHeight="1">
      <c r="A46" s="1109" t="s">
        <v>968</v>
      </c>
      <c r="B46" s="1110" t="s">
        <v>1335</v>
      </c>
      <c r="C46" s="1109" t="s">
        <v>543</v>
      </c>
      <c r="D46" s="1111">
        <v>3822155</v>
      </c>
      <c r="E46" s="1111">
        <v>4041308</v>
      </c>
      <c r="F46" s="1165">
        <v>3839167</v>
      </c>
      <c r="G46" s="1111">
        <v>4077179</v>
      </c>
      <c r="H46" s="1137">
        <v>1767866</v>
      </c>
      <c r="I46" s="1111">
        <v>255506</v>
      </c>
      <c r="J46" s="1111">
        <v>875179</v>
      </c>
      <c r="K46" s="1111">
        <v>122400</v>
      </c>
      <c r="L46" s="1111">
        <v>165208</v>
      </c>
      <c r="M46" s="1111">
        <v>242121</v>
      </c>
      <c r="N46" s="1111">
        <v>225000</v>
      </c>
      <c r="O46" s="1111">
        <v>172844</v>
      </c>
      <c r="P46" s="1111">
        <v>181500</v>
      </c>
      <c r="Q46" s="1111">
        <v>69555</v>
      </c>
      <c r="R46" s="1108">
        <f>F46/D46*100</f>
        <v>100.44508922322618</v>
      </c>
      <c r="S46" s="1108">
        <f>G46/F46*100</f>
        <v>106.19957402217722</v>
      </c>
      <c r="T46" s="1112">
        <f>G46-F46</f>
        <v>238012</v>
      </c>
      <c r="X46" s="1135">
        <f>F46/E46*100</f>
        <v>94.99812931852757</v>
      </c>
      <c r="Y46" s="1136"/>
      <c r="Z46" s="1136"/>
      <c r="AA46" s="1136"/>
      <c r="AB46" s="1136"/>
    </row>
    <row r="47" spans="1:20" s="1104" customFormat="1" ht="15" customHeight="1">
      <c r="A47" s="1099" t="s">
        <v>132</v>
      </c>
      <c r="B47" s="1100" t="s">
        <v>544</v>
      </c>
      <c r="C47" s="1099"/>
      <c r="D47" s="1101"/>
      <c r="E47" s="1105"/>
      <c r="F47" s="1119"/>
      <c r="G47" s="1103"/>
      <c r="H47" s="1101"/>
      <c r="I47" s="1101"/>
      <c r="J47" s="1101"/>
      <c r="K47" s="1101"/>
      <c r="L47" s="1101"/>
      <c r="M47" s="1101"/>
      <c r="N47" s="1101"/>
      <c r="O47" s="1101"/>
      <c r="P47" s="1101"/>
      <c r="Q47" s="1101"/>
      <c r="R47" s="1133"/>
      <c r="S47" s="1108"/>
      <c r="T47" s="1112">
        <f>G47-F47</f>
        <v>0</v>
      </c>
    </row>
    <row r="48" spans="1:21" s="1142" customFormat="1" ht="15" customHeight="1">
      <c r="A48" s="1138">
        <v>1</v>
      </c>
      <c r="B48" s="1139" t="s">
        <v>545</v>
      </c>
      <c r="C48" s="1138" t="s">
        <v>537</v>
      </c>
      <c r="D48" s="1140">
        <v>2195.96</v>
      </c>
      <c r="E48" s="1140">
        <v>2242</v>
      </c>
      <c r="F48" s="1140">
        <v>2243.37</v>
      </c>
      <c r="G48" s="1140">
        <f>SUM(H48:Q48)</f>
        <v>2314.7</v>
      </c>
      <c r="H48" s="1166">
        <v>1268.7</v>
      </c>
      <c r="I48" s="1167">
        <v>146</v>
      </c>
      <c r="J48" s="1168">
        <v>295</v>
      </c>
      <c r="K48" s="1168">
        <v>139.8</v>
      </c>
      <c r="L48" s="1168">
        <v>121.3</v>
      </c>
      <c r="M48" s="1168">
        <v>50</v>
      </c>
      <c r="N48" s="1168">
        <v>81.4</v>
      </c>
      <c r="O48" s="1168">
        <v>154</v>
      </c>
      <c r="P48" s="1168">
        <v>34.5</v>
      </c>
      <c r="Q48" s="1169">
        <v>24</v>
      </c>
      <c r="R48" s="1108">
        <f>F48/D48*100</f>
        <v>102.15896464416474</v>
      </c>
      <c r="S48" s="1108">
        <f t="shared" si="13"/>
        <v>103.17959141826805</v>
      </c>
      <c r="T48" s="1112">
        <f t="shared" si="2"/>
        <v>71.32999999999993</v>
      </c>
      <c r="U48" s="1141"/>
    </row>
    <row r="49" spans="1:23" s="1142" customFormat="1" ht="15" customHeight="1">
      <c r="A49" s="1138">
        <v>2</v>
      </c>
      <c r="B49" s="1139" t="s">
        <v>1336</v>
      </c>
      <c r="C49" s="1138" t="s">
        <v>458</v>
      </c>
      <c r="D49" s="1143">
        <v>2807.8</v>
      </c>
      <c r="E49" s="1140">
        <v>2964</v>
      </c>
      <c r="F49" s="1143">
        <f>F50+F51</f>
        <v>3069.29</v>
      </c>
      <c r="G49" s="1140">
        <f>SUM(H49:Q49)</f>
        <v>3281.4485000000004</v>
      </c>
      <c r="H49" s="1167">
        <f>H50+H51</f>
        <v>1594.6</v>
      </c>
      <c r="I49" s="1167">
        <f>SUM(I50:I51)</f>
        <v>202.26500000000001</v>
      </c>
      <c r="J49" s="1166">
        <f>J50+J51</f>
        <v>384.29</v>
      </c>
      <c r="K49" s="1170">
        <f>SUM(K50:K51)</f>
        <v>163.23000000000002</v>
      </c>
      <c r="L49" s="1166">
        <f>SUM(L50:L51)</f>
        <v>169.60049999999998</v>
      </c>
      <c r="M49" s="1167">
        <f>SUM(M50:M51)</f>
        <v>85.5</v>
      </c>
      <c r="N49" s="1166">
        <f>SUM(N50:N51)</f>
        <v>271.748</v>
      </c>
      <c r="O49" s="1166">
        <f>SUM(O50:O51)</f>
        <v>184.79999999999998</v>
      </c>
      <c r="P49" s="1166">
        <f>P50+P51</f>
        <v>52.035000000000004</v>
      </c>
      <c r="Q49" s="1167">
        <f>Q50+Q51</f>
        <v>173.38</v>
      </c>
      <c r="R49" s="1108">
        <f>F49/D49*100</f>
        <v>109.31298525536006</v>
      </c>
      <c r="S49" s="1108">
        <f t="shared" si="13"/>
        <v>106.91229893558447</v>
      </c>
      <c r="T49" s="1112">
        <f t="shared" si="2"/>
        <v>212.15850000000046</v>
      </c>
      <c r="U49" s="1144"/>
      <c r="W49" s="1142">
        <f>G48/F48*100</f>
        <v>103.17959141826805</v>
      </c>
    </row>
    <row r="50" spans="1:21" s="1142" customFormat="1" ht="15" customHeight="1">
      <c r="A50" s="1138" t="s">
        <v>538</v>
      </c>
      <c r="B50" s="1139" t="s">
        <v>81</v>
      </c>
      <c r="C50" s="1138" t="s">
        <v>458</v>
      </c>
      <c r="D50" s="1143">
        <v>2558.1</v>
      </c>
      <c r="E50" s="1140">
        <v>2712</v>
      </c>
      <c r="F50" s="1143">
        <v>2817.79</v>
      </c>
      <c r="G50" s="1140">
        <f>SUM(H50:Q50)</f>
        <v>3022.9935000000005</v>
      </c>
      <c r="H50" s="1167">
        <f>1460*105/100</f>
        <v>1533</v>
      </c>
      <c r="I50" s="1169">
        <f>1.33*I48</f>
        <v>194.18</v>
      </c>
      <c r="J50" s="1171">
        <f>1.25*J48</f>
        <v>368.75</v>
      </c>
      <c r="K50" s="1171">
        <f>K48*1.1</f>
        <v>153.78000000000003</v>
      </c>
      <c r="L50" s="1171">
        <f>L48*1.335</f>
        <v>161.9355</v>
      </c>
      <c r="M50" s="1166">
        <f>1.05*M48</f>
        <v>52.5</v>
      </c>
      <c r="N50" s="1172">
        <f>3.32*N48</f>
        <v>270.248</v>
      </c>
      <c r="O50" s="1166">
        <f>1.14*O48</f>
        <v>175.55999999999997</v>
      </c>
      <c r="P50" s="1166">
        <f>1.28*P48</f>
        <v>44.160000000000004</v>
      </c>
      <c r="Q50" s="1167">
        <f>2.87*Q48</f>
        <v>68.88</v>
      </c>
      <c r="R50" s="1108">
        <f>F50/D50*100</f>
        <v>110.151675071342</v>
      </c>
      <c r="S50" s="1108">
        <f t="shared" si="13"/>
        <v>107.28242700840023</v>
      </c>
      <c r="T50" s="1112">
        <f t="shared" si="2"/>
        <v>205.20350000000053</v>
      </c>
      <c r="U50" s="1145"/>
    </row>
    <row r="51" spans="1:21" s="1142" customFormat="1" ht="15" customHeight="1">
      <c r="A51" s="1138" t="s">
        <v>540</v>
      </c>
      <c r="B51" s="1139" t="s">
        <v>80</v>
      </c>
      <c r="C51" s="1138" t="s">
        <v>458</v>
      </c>
      <c r="D51" s="1143">
        <v>249.7</v>
      </c>
      <c r="E51" s="1146">
        <v>253</v>
      </c>
      <c r="F51" s="1140">
        <v>251.5</v>
      </c>
      <c r="G51" s="1140">
        <f>SUM(H51:Q51)</f>
        <v>258.45500000000004</v>
      </c>
      <c r="H51" s="1166">
        <f>56*110/100</f>
        <v>61.6</v>
      </c>
      <c r="I51" s="1173">
        <f>7.7*105/100</f>
        <v>8.085</v>
      </c>
      <c r="J51" s="1171">
        <f>14.8*105/100</f>
        <v>15.54</v>
      </c>
      <c r="K51" s="1170">
        <f>9*105/100</f>
        <v>9.45</v>
      </c>
      <c r="L51" s="1166">
        <f>7.3*105/100</f>
        <v>7.665</v>
      </c>
      <c r="M51" s="1174">
        <f>30*110/100</f>
        <v>33</v>
      </c>
      <c r="N51" s="1166">
        <v>1.5</v>
      </c>
      <c r="O51" s="1172">
        <f>8.8*105/100</f>
        <v>9.240000000000002</v>
      </c>
      <c r="P51" s="1166">
        <f>7.5*105/100</f>
        <v>7.875</v>
      </c>
      <c r="Q51" s="1166">
        <f>110*95/100</f>
        <v>104.5</v>
      </c>
      <c r="R51" s="1108">
        <f>F51/D51*100</f>
        <v>100.72086503804564</v>
      </c>
      <c r="S51" s="1108">
        <f t="shared" si="13"/>
        <v>102.76540755467198</v>
      </c>
      <c r="T51" s="1112">
        <f t="shared" si="2"/>
        <v>6.955000000000041</v>
      </c>
      <c r="U51" s="1145"/>
    </row>
    <row r="52" spans="1:20" s="1104" customFormat="1" ht="15" customHeight="1">
      <c r="A52" s="1099" t="s">
        <v>91</v>
      </c>
      <c r="B52" s="1100" t="s">
        <v>62</v>
      </c>
      <c r="C52" s="1099"/>
      <c r="D52" s="1101"/>
      <c r="E52" s="1101"/>
      <c r="F52" s="1102"/>
      <c r="G52" s="1103"/>
      <c r="H52" s="1101"/>
      <c r="I52" s="1101"/>
      <c r="J52" s="1101"/>
      <c r="K52" s="1101"/>
      <c r="L52" s="1101"/>
      <c r="M52" s="1101"/>
      <c r="N52" s="1101"/>
      <c r="O52" s="1101"/>
      <c r="P52" s="1101"/>
      <c r="Q52" s="1101"/>
      <c r="R52" s="1133"/>
      <c r="S52" s="1108"/>
      <c r="T52" s="1112">
        <f t="shared" si="2"/>
        <v>0</v>
      </c>
    </row>
    <row r="53" spans="1:20" s="1112" customFormat="1" ht="17.25" customHeight="1">
      <c r="A53" s="1109">
        <v>1</v>
      </c>
      <c r="B53" s="1110" t="s">
        <v>1337</v>
      </c>
      <c r="C53" s="1109" t="s">
        <v>537</v>
      </c>
      <c r="D53" s="1266">
        <v>1009.43</v>
      </c>
      <c r="E53" s="1266">
        <f>E54+E55+E56</f>
        <v>3052.83</v>
      </c>
      <c r="F53" s="1267">
        <v>1542</v>
      </c>
      <c r="G53" s="1103">
        <f>SUM(H53:Q53)</f>
        <v>1016.4000000000001</v>
      </c>
      <c r="H53" s="1103">
        <f>H54+H56</f>
        <v>10</v>
      </c>
      <c r="I53" s="1103">
        <f aca="true" t="shared" si="14" ref="I53:Q53">I54+I56</f>
        <v>330</v>
      </c>
      <c r="J53" s="1103">
        <f t="shared" si="14"/>
        <v>50</v>
      </c>
      <c r="K53" s="1103">
        <f t="shared" si="14"/>
        <v>507.7</v>
      </c>
      <c r="L53" s="1103">
        <f t="shared" si="14"/>
        <v>36.7</v>
      </c>
      <c r="M53" s="1103">
        <f t="shared" si="14"/>
        <v>0</v>
      </c>
      <c r="N53" s="1103">
        <f t="shared" si="14"/>
        <v>0</v>
      </c>
      <c r="O53" s="1103">
        <f t="shared" si="14"/>
        <v>52</v>
      </c>
      <c r="P53" s="1103">
        <f t="shared" si="14"/>
        <v>30</v>
      </c>
      <c r="Q53" s="1103">
        <f t="shared" si="14"/>
        <v>0</v>
      </c>
      <c r="R53" s="1108">
        <f aca="true" t="shared" si="15" ref="R53:R59">F53/D53*100</f>
        <v>152.759478121316</v>
      </c>
      <c r="S53" s="1108">
        <f t="shared" si="13"/>
        <v>65.91439688715954</v>
      </c>
      <c r="T53" s="1112">
        <f t="shared" si="2"/>
        <v>-525.5999999999999</v>
      </c>
    </row>
    <row r="54" spans="1:20" s="1112" customFormat="1" ht="17.25" customHeight="1">
      <c r="A54" s="1109" t="s">
        <v>13</v>
      </c>
      <c r="B54" s="1110" t="s">
        <v>1338</v>
      </c>
      <c r="C54" s="1109" t="s">
        <v>537</v>
      </c>
      <c r="D54" s="1103">
        <v>122.71</v>
      </c>
      <c r="E54" s="1103">
        <v>400</v>
      </c>
      <c r="F54" s="1147">
        <v>533</v>
      </c>
      <c r="G54" s="1103">
        <f>SUM(H54:Q54)</f>
        <v>135.4</v>
      </c>
      <c r="H54" s="1103">
        <v>10</v>
      </c>
      <c r="I54" s="1103">
        <v>30</v>
      </c>
      <c r="J54" s="1103">
        <v>50</v>
      </c>
      <c r="K54" s="1103">
        <v>3.7</v>
      </c>
      <c r="L54" s="1103">
        <v>11.7</v>
      </c>
      <c r="M54" s="1103">
        <v>0</v>
      </c>
      <c r="N54" s="1103">
        <v>0</v>
      </c>
      <c r="O54" s="1103"/>
      <c r="P54" s="1103">
        <v>30</v>
      </c>
      <c r="Q54" s="1103">
        <v>0</v>
      </c>
      <c r="R54" s="1108">
        <f t="shared" si="15"/>
        <v>434.35742808247085</v>
      </c>
      <c r="S54" s="1108">
        <f t="shared" si="13"/>
        <v>25.403377110694187</v>
      </c>
      <c r="T54" s="1112">
        <f t="shared" si="2"/>
        <v>-397.6</v>
      </c>
    </row>
    <row r="55" spans="1:22" s="1112" customFormat="1" ht="17.25" customHeight="1">
      <c r="A55" s="1109" t="s">
        <v>13</v>
      </c>
      <c r="B55" s="1110" t="s">
        <v>1396</v>
      </c>
      <c r="C55" s="1109" t="s">
        <v>537</v>
      </c>
      <c r="D55" s="1103"/>
      <c r="E55" s="1103">
        <v>22.83</v>
      </c>
      <c r="F55" s="1147"/>
      <c r="G55" s="1103"/>
      <c r="H55" s="1103"/>
      <c r="I55" s="1103"/>
      <c r="J55" s="1103"/>
      <c r="K55" s="1103"/>
      <c r="L55" s="1103"/>
      <c r="M55" s="1103"/>
      <c r="N55" s="1103"/>
      <c r="O55" s="1103"/>
      <c r="P55" s="1103"/>
      <c r="Q55" s="1103"/>
      <c r="R55" s="1108"/>
      <c r="S55" s="1108"/>
      <c r="U55" s="1148"/>
      <c r="V55" s="1148"/>
    </row>
    <row r="56" spans="1:20" s="1112" customFormat="1" ht="38.25" customHeight="1">
      <c r="A56" s="1109" t="s">
        <v>13</v>
      </c>
      <c r="B56" s="1149" t="s">
        <v>1339</v>
      </c>
      <c r="C56" s="1109" t="s">
        <v>537</v>
      </c>
      <c r="D56" s="1103">
        <v>886.72</v>
      </c>
      <c r="E56" s="1103">
        <v>2630</v>
      </c>
      <c r="F56" s="1147">
        <v>1009</v>
      </c>
      <c r="G56" s="1103">
        <f>SUM(H56:Q56)</f>
        <v>881</v>
      </c>
      <c r="H56" s="1103"/>
      <c r="I56" s="1103">
        <v>300</v>
      </c>
      <c r="J56" s="1103"/>
      <c r="K56" s="1103">
        <v>504</v>
      </c>
      <c r="L56" s="1103">
        <v>25</v>
      </c>
      <c r="M56" s="1103"/>
      <c r="N56" s="1103"/>
      <c r="O56" s="1103">
        <v>52</v>
      </c>
      <c r="P56" s="1103"/>
      <c r="Q56" s="1103"/>
      <c r="R56" s="1108">
        <f t="shared" si="15"/>
        <v>113.79014796102489</v>
      </c>
      <c r="S56" s="1108">
        <f t="shared" si="13"/>
        <v>87.31417244796829</v>
      </c>
      <c r="T56" s="1112">
        <f t="shared" si="2"/>
        <v>-128</v>
      </c>
    </row>
    <row r="57" spans="1:20" s="1112" customFormat="1" ht="15.75" customHeight="1">
      <c r="A57" s="1109">
        <v>2</v>
      </c>
      <c r="B57" s="1110" t="s">
        <v>1340</v>
      </c>
      <c r="C57" s="1109" t="s">
        <v>537</v>
      </c>
      <c r="D57" s="1103">
        <v>9787</v>
      </c>
      <c r="E57" s="1103">
        <v>286889</v>
      </c>
      <c r="F57" s="1147">
        <v>291969</v>
      </c>
      <c r="G57" s="1103">
        <f>SUM(H57:Q57)</f>
        <v>286211</v>
      </c>
      <c r="H57" s="1150">
        <v>38510</v>
      </c>
      <c r="I57" s="1111">
        <v>10116</v>
      </c>
      <c r="J57" s="1111">
        <v>35419</v>
      </c>
      <c r="K57" s="1111">
        <v>66455</v>
      </c>
      <c r="L57" s="1111">
        <v>49344</v>
      </c>
      <c r="M57" s="1111">
        <v>21123</v>
      </c>
      <c r="N57" s="1111"/>
      <c r="O57" s="1111">
        <v>21524</v>
      </c>
      <c r="P57" s="1111">
        <v>38469</v>
      </c>
      <c r="Q57" s="1111">
        <v>5251</v>
      </c>
      <c r="R57" s="1108">
        <f t="shared" si="15"/>
        <v>2983.232859916215</v>
      </c>
      <c r="S57" s="1108">
        <f t="shared" si="13"/>
        <v>98.02787282211469</v>
      </c>
      <c r="T57" s="1112">
        <f t="shared" si="2"/>
        <v>-5758</v>
      </c>
    </row>
    <row r="58" spans="1:21" s="1112" customFormat="1" ht="15.75" customHeight="1">
      <c r="A58" s="1109">
        <v>3</v>
      </c>
      <c r="B58" s="1110" t="s">
        <v>1341</v>
      </c>
      <c r="C58" s="1109" t="s">
        <v>537</v>
      </c>
      <c r="D58" s="1103">
        <v>2437.9</v>
      </c>
      <c r="E58" s="1103">
        <v>26151</v>
      </c>
      <c r="F58" s="1147">
        <v>10789</v>
      </c>
      <c r="G58" s="1103">
        <f>SUM(H58:Q58)</f>
        <v>18086</v>
      </c>
      <c r="H58" s="1103">
        <v>3306</v>
      </c>
      <c r="I58" s="1103">
        <v>1000</v>
      </c>
      <c r="J58" s="1103">
        <v>4857</v>
      </c>
      <c r="K58" s="1103">
        <v>1000</v>
      </c>
      <c r="L58" s="1103">
        <v>5000</v>
      </c>
      <c r="M58" s="1103">
        <v>1850</v>
      </c>
      <c r="N58" s="1103">
        <v>0</v>
      </c>
      <c r="O58" s="1103">
        <v>302</v>
      </c>
      <c r="P58" s="1103">
        <v>771</v>
      </c>
      <c r="Q58" s="1103"/>
      <c r="R58" s="1106">
        <f>F58/D58*100</f>
        <v>442.55301694080964</v>
      </c>
      <c r="S58" s="1108">
        <f>G58/F58*100</f>
        <v>167.63370099175086</v>
      </c>
      <c r="T58" s="1112">
        <f t="shared" si="2"/>
        <v>7297</v>
      </c>
      <c r="U58" s="1112">
        <f>F58/E58*100</f>
        <v>41.25654850674926</v>
      </c>
    </row>
    <row r="59" spans="1:20" ht="15.75" customHeight="1">
      <c r="A59" s="1109" t="s">
        <v>968</v>
      </c>
      <c r="B59" s="1151" t="s">
        <v>1342</v>
      </c>
      <c r="C59" s="1109" t="s">
        <v>21</v>
      </c>
      <c r="D59" s="1152">
        <v>39.01</v>
      </c>
      <c r="E59" s="1152">
        <v>39.02</v>
      </c>
      <c r="F59" s="1175">
        <v>39.74</v>
      </c>
      <c r="G59" s="1106">
        <v>40.31</v>
      </c>
      <c r="H59" s="1153"/>
      <c r="I59" s="1153"/>
      <c r="J59" s="1153"/>
      <c r="K59" s="1153"/>
      <c r="L59" s="1153"/>
      <c r="M59" s="1153"/>
      <c r="N59" s="1153"/>
      <c r="O59" s="1153"/>
      <c r="P59" s="1153"/>
      <c r="Q59" s="1153"/>
      <c r="R59" s="1108">
        <f t="shared" si="15"/>
        <v>101.87131504742375</v>
      </c>
      <c r="S59" s="1108">
        <f t="shared" si="13"/>
        <v>101.43432310015099</v>
      </c>
      <c r="T59" s="1112">
        <f t="shared" si="2"/>
        <v>0.5700000000000003</v>
      </c>
    </row>
    <row r="60" spans="1:20" ht="15.75" customHeight="1">
      <c r="A60" s="1155"/>
      <c r="B60" s="1156"/>
      <c r="C60" s="1155"/>
      <c r="D60" s="1157"/>
      <c r="E60" s="1157"/>
      <c r="F60" s="1158"/>
      <c r="G60" s="1159"/>
      <c r="H60" s="1160"/>
      <c r="I60" s="1160"/>
      <c r="J60" s="1160"/>
      <c r="K60" s="1160"/>
      <c r="L60" s="1160"/>
      <c r="M60" s="1160"/>
      <c r="N60" s="1160"/>
      <c r="O60" s="1160"/>
      <c r="P60" s="1160"/>
      <c r="Q60" s="1160"/>
      <c r="R60" s="1161"/>
      <c r="S60" s="1161"/>
      <c r="T60" s="1112"/>
    </row>
    <row r="61" spans="1:20" ht="15.75" customHeight="1">
      <c r="A61" s="1155"/>
      <c r="B61" s="1156"/>
      <c r="C61" s="1155"/>
      <c r="D61" s="1157"/>
      <c r="E61" s="1157"/>
      <c r="F61" s="1158"/>
      <c r="G61" s="1159"/>
      <c r="H61" s="1160"/>
      <c r="I61" s="1160"/>
      <c r="J61" s="1160"/>
      <c r="K61" s="1160"/>
      <c r="L61" s="1160"/>
      <c r="M61" s="1160"/>
      <c r="N61" s="1160"/>
      <c r="O61" s="1160"/>
      <c r="P61" s="1160"/>
      <c r="Q61" s="1160"/>
      <c r="R61" s="1161"/>
      <c r="S61" s="1161"/>
      <c r="T61" s="1112"/>
    </row>
    <row r="62" spans="1:20" ht="15.75" customHeight="1">
      <c r="A62" s="1155"/>
      <c r="B62" s="1156"/>
      <c r="C62" s="1155"/>
      <c r="D62" s="1157"/>
      <c r="E62" s="1157"/>
      <c r="F62" s="1158"/>
      <c r="G62" s="1159"/>
      <c r="H62" s="1160"/>
      <c r="I62" s="1160"/>
      <c r="J62" s="1160"/>
      <c r="K62" s="1160"/>
      <c r="L62" s="1160"/>
      <c r="M62" s="1160"/>
      <c r="N62" s="1160"/>
      <c r="O62" s="1160"/>
      <c r="P62" s="1160"/>
      <c r="Q62" s="1160"/>
      <c r="R62" s="1161"/>
      <c r="S62" s="1161"/>
      <c r="T62" s="1112"/>
    </row>
    <row r="63" spans="1:19" ht="15.75" customHeight="1">
      <c r="A63" s="1155"/>
      <c r="B63" s="1156"/>
      <c r="C63" s="1155"/>
      <c r="D63" s="1157"/>
      <c r="E63" s="1157"/>
      <c r="F63" s="1158"/>
      <c r="G63" s="1159"/>
      <c r="H63" s="1160"/>
      <c r="I63" s="1160"/>
      <c r="J63" s="1160"/>
      <c r="K63" s="1160"/>
      <c r="L63" s="1160"/>
      <c r="M63" s="1160"/>
      <c r="N63" s="1160"/>
      <c r="O63" s="1160"/>
      <c r="P63" s="1160"/>
      <c r="Q63" s="1160"/>
      <c r="R63" s="1161"/>
      <c r="S63" s="1161"/>
    </row>
    <row r="64" spans="1:19" ht="15.75" customHeight="1">
      <c r="A64" s="1155"/>
      <c r="B64" s="1156" t="s">
        <v>1393</v>
      </c>
      <c r="C64" s="1155"/>
      <c r="D64" s="1157"/>
      <c r="E64" s="1157"/>
      <c r="F64" s="1158"/>
      <c r="G64" s="1159"/>
      <c r="H64" s="1160"/>
      <c r="I64" s="1160"/>
      <c r="J64" s="1160"/>
      <c r="K64" s="1160"/>
      <c r="L64" s="1160"/>
      <c r="M64" s="1160"/>
      <c r="N64" s="1160"/>
      <c r="O64" s="1160"/>
      <c r="P64" s="1160"/>
      <c r="Q64" s="1160"/>
      <c r="R64" s="1161"/>
      <c r="S64" s="1161"/>
    </row>
    <row r="65" spans="1:19" ht="18.75" customHeight="1">
      <c r="A65" s="1155"/>
      <c r="B65" s="1311" t="s">
        <v>1394</v>
      </c>
      <c r="C65" s="1311"/>
      <c r="D65" s="1311"/>
      <c r="E65" s="1311"/>
      <c r="F65" s="1311"/>
      <c r="G65" s="1311"/>
      <c r="H65" s="1311"/>
      <c r="I65" s="1311"/>
      <c r="J65" s="1311"/>
      <c r="K65" s="1311"/>
      <c r="L65" s="1311"/>
      <c r="M65" s="1311"/>
      <c r="N65" s="1311"/>
      <c r="O65" s="1311"/>
      <c r="P65" s="1311"/>
      <c r="Q65" s="1311"/>
      <c r="R65" s="1311"/>
      <c r="S65" s="1311"/>
    </row>
    <row r="66" spans="1:19" ht="18.75" customHeight="1">
      <c r="A66" s="1155"/>
      <c r="B66" s="1311" t="s">
        <v>1395</v>
      </c>
      <c r="C66" s="1311"/>
      <c r="D66" s="1311"/>
      <c r="E66" s="1311"/>
      <c r="F66" s="1311"/>
      <c r="G66" s="1311"/>
      <c r="H66" s="1311"/>
      <c r="I66" s="1311"/>
      <c r="J66" s="1311"/>
      <c r="K66" s="1311"/>
      <c r="L66" s="1311"/>
      <c r="M66" s="1311"/>
      <c r="N66" s="1311"/>
      <c r="O66" s="1311"/>
      <c r="P66" s="1311"/>
      <c r="Q66" s="1311"/>
      <c r="R66" s="1311"/>
      <c r="S66" s="1311"/>
    </row>
    <row r="67" spans="18:19" ht="12.75">
      <c r="R67" s="1164"/>
      <c r="S67" s="1164"/>
    </row>
    <row r="68" spans="18:19" ht="12.75">
      <c r="R68" s="1164"/>
      <c r="S68" s="1164"/>
    </row>
    <row r="69" spans="18:19" ht="12.75">
      <c r="R69" s="1164"/>
      <c r="S69" s="1164"/>
    </row>
    <row r="70" spans="18:19" ht="12.75">
      <c r="R70" s="1164"/>
      <c r="S70" s="1164"/>
    </row>
  </sheetData>
  <sheetProtection/>
  <mergeCells count="13">
    <mergeCell ref="E5:F5"/>
    <mergeCell ref="G5:Q5"/>
    <mergeCell ref="R5:S5"/>
    <mergeCell ref="T5:T6"/>
    <mergeCell ref="U5:U6"/>
    <mergeCell ref="B65:S65"/>
    <mergeCell ref="B66:S66"/>
    <mergeCell ref="A2:S2"/>
    <mergeCell ref="A3:S3"/>
    <mergeCell ref="A5:A6"/>
    <mergeCell ref="B5:B6"/>
    <mergeCell ref="C5:C6"/>
    <mergeCell ref="D5:D6"/>
  </mergeCells>
  <printOptions horizontalCentered="1"/>
  <pageMargins left="0" right="0" top="0.236220472440945" bottom="0" header="0.0393700787401575" footer="0"/>
  <pageSetup horizontalDpi="600" verticalDpi="600" orientation="landscape" paperSize="9" scale="80" r:id="rId4"/>
  <headerFooter alignWithMargins="0">
    <oddFooter>&amp;C&amp;P</oddFooter>
  </headerFooter>
  <drawing r:id="rId3"/>
  <legacyDrawing r:id="rId2"/>
</worksheet>
</file>

<file path=xl/worksheets/sheet4.xml><?xml version="1.0" encoding="utf-8"?>
<worksheet xmlns="http://schemas.openxmlformats.org/spreadsheetml/2006/main" xmlns:r="http://schemas.openxmlformats.org/officeDocument/2006/relationships">
  <sheetPr>
    <tabColor rgb="FFFFFF00"/>
  </sheetPr>
  <dimension ref="A1:AU53"/>
  <sheetViews>
    <sheetView view="pageBreakPreview" zoomScale="120" zoomScaleNormal="85" zoomScaleSheetLayoutView="120" zoomScalePageLayoutView="0" workbookViewId="0" topLeftCell="A1">
      <pane xSplit="2" ySplit="6" topLeftCell="L7" activePane="bottomRight" state="frozen"/>
      <selection pane="topLeft" activeCell="F21" sqref="F21"/>
      <selection pane="topRight" activeCell="F21" sqref="F21"/>
      <selection pane="bottomLeft" activeCell="F21" sqref="F21"/>
      <selection pane="bottomRight" activeCell="A3" sqref="A3:S3"/>
    </sheetView>
  </sheetViews>
  <sheetFormatPr defaultColWidth="8.625" defaultRowHeight="15.75"/>
  <cols>
    <col min="1" max="1" width="3.75390625" style="342" customWidth="1"/>
    <col min="2" max="2" width="24.875" style="328" customWidth="1"/>
    <col min="3" max="3" width="9.00390625" style="328" customWidth="1"/>
    <col min="4" max="4" width="10.375" style="328" customWidth="1"/>
    <col min="5" max="5" width="9.25390625" style="328" customWidth="1"/>
    <col min="6" max="6" width="10.125" style="328" customWidth="1"/>
    <col min="7" max="7" width="9.375" style="328" customWidth="1"/>
    <col min="8" max="8" width="7.75390625" style="328" customWidth="1"/>
    <col min="9" max="9" width="7.625" style="328" customWidth="1"/>
    <col min="10" max="10" width="7.25390625" style="328" customWidth="1"/>
    <col min="11" max="12" width="7.375" style="328" customWidth="1"/>
    <col min="13" max="13" width="8.875" style="328" customWidth="1"/>
    <col min="14" max="14" width="7.625" style="328" customWidth="1"/>
    <col min="15" max="17" width="7.25390625" style="328" customWidth="1"/>
    <col min="18" max="18" width="6.75390625" style="328" customWidth="1"/>
    <col min="19" max="19" width="7.50390625" style="328" customWidth="1"/>
    <col min="20" max="20" width="0.37109375" style="326" customWidth="1"/>
    <col min="21" max="21" width="8.25390625" style="326" hidden="1" customWidth="1"/>
    <col min="22" max="22" width="12.75390625" style="326" hidden="1" customWidth="1"/>
    <col min="23" max="23" width="12.375" style="326" hidden="1" customWidth="1"/>
    <col min="24" max="24" width="9.00390625" style="338" customWidth="1"/>
    <col min="25" max="26" width="9.00390625" style="338" hidden="1" customWidth="1"/>
    <col min="27" max="27" width="9.00390625" style="338" customWidth="1"/>
    <col min="28" max="47" width="9.00390625" style="327" customWidth="1"/>
    <col min="48" max="16384" width="8.625" style="328" customWidth="1"/>
  </cols>
  <sheetData>
    <row r="1" spans="1:19" ht="23.25" customHeight="1">
      <c r="A1" s="1321" t="s">
        <v>547</v>
      </c>
      <c r="B1" s="1321"/>
      <c r="C1" s="1321"/>
      <c r="D1" s="1321"/>
      <c r="E1" s="1321"/>
      <c r="F1" s="1321"/>
      <c r="G1" s="1321"/>
      <c r="H1" s="1321"/>
      <c r="I1" s="1321"/>
      <c r="J1" s="1321"/>
      <c r="K1" s="1321"/>
      <c r="L1" s="1321"/>
      <c r="M1" s="1321"/>
      <c r="N1" s="1321"/>
      <c r="O1" s="1321"/>
      <c r="P1" s="1321"/>
      <c r="Q1" s="1321"/>
      <c r="R1" s="1321"/>
      <c r="S1" s="1321"/>
    </row>
    <row r="2" spans="1:19" ht="20.25" customHeight="1">
      <c r="A2" s="1322" t="s">
        <v>1305</v>
      </c>
      <c r="B2" s="1322"/>
      <c r="C2" s="1322"/>
      <c r="D2" s="1322"/>
      <c r="E2" s="1322"/>
      <c r="F2" s="1322"/>
      <c r="G2" s="1322"/>
      <c r="H2" s="1322"/>
      <c r="I2" s="1322"/>
      <c r="J2" s="1322"/>
      <c r="K2" s="1322"/>
      <c r="L2" s="1322"/>
      <c r="M2" s="1322"/>
      <c r="N2" s="1322"/>
      <c r="O2" s="1322"/>
      <c r="P2" s="1322"/>
      <c r="Q2" s="1322"/>
      <c r="R2" s="1322"/>
      <c r="S2" s="1322"/>
    </row>
    <row r="3" spans="1:19" ht="16.5">
      <c r="A3" s="1323" t="s">
        <v>1175</v>
      </c>
      <c r="B3" s="1323"/>
      <c r="C3" s="1323"/>
      <c r="D3" s="1323"/>
      <c r="E3" s="1323"/>
      <c r="F3" s="1323"/>
      <c r="G3" s="1323"/>
      <c r="H3" s="1323"/>
      <c r="I3" s="1323"/>
      <c r="J3" s="1323"/>
      <c r="K3" s="1323"/>
      <c r="L3" s="1323"/>
      <c r="M3" s="1323"/>
      <c r="N3" s="1323"/>
      <c r="O3" s="1323"/>
      <c r="P3" s="1323"/>
      <c r="Q3" s="1323"/>
      <c r="R3" s="1323"/>
      <c r="S3" s="1323"/>
    </row>
    <row r="4" spans="1:47" s="331" customFormat="1" ht="21.75" customHeight="1">
      <c r="A4" s="1324" t="s">
        <v>399</v>
      </c>
      <c r="B4" s="1325" t="s">
        <v>3</v>
      </c>
      <c r="C4" s="1325" t="s">
        <v>525</v>
      </c>
      <c r="D4" s="1326" t="s">
        <v>1172</v>
      </c>
      <c r="E4" s="1327" t="s">
        <v>468</v>
      </c>
      <c r="F4" s="1327"/>
      <c r="G4" s="1327" t="s">
        <v>1174</v>
      </c>
      <c r="H4" s="1327"/>
      <c r="I4" s="1327"/>
      <c r="J4" s="1327"/>
      <c r="K4" s="1327"/>
      <c r="L4" s="1327"/>
      <c r="M4" s="1327"/>
      <c r="N4" s="1327"/>
      <c r="O4" s="1327"/>
      <c r="P4" s="1327"/>
      <c r="Q4" s="1327"/>
      <c r="R4" s="1325" t="s">
        <v>548</v>
      </c>
      <c r="S4" s="1325"/>
      <c r="T4" s="329"/>
      <c r="U4" s="329"/>
      <c r="V4" s="329"/>
      <c r="W4" s="329"/>
      <c r="X4" s="507"/>
      <c r="Y4" s="507"/>
      <c r="Z4" s="507"/>
      <c r="AA4" s="507"/>
      <c r="AB4" s="330"/>
      <c r="AC4" s="330"/>
      <c r="AD4" s="330"/>
      <c r="AE4" s="330"/>
      <c r="AF4" s="330"/>
      <c r="AG4" s="330"/>
      <c r="AH4" s="330"/>
      <c r="AI4" s="330"/>
      <c r="AJ4" s="330"/>
      <c r="AK4" s="330"/>
      <c r="AL4" s="330"/>
      <c r="AM4" s="330"/>
      <c r="AN4" s="330"/>
      <c r="AO4" s="330"/>
      <c r="AP4" s="330"/>
      <c r="AQ4" s="330"/>
      <c r="AR4" s="330"/>
      <c r="AS4" s="330"/>
      <c r="AT4" s="330"/>
      <c r="AU4" s="330"/>
    </row>
    <row r="5" spans="1:47" s="331" customFormat="1" ht="15.75" customHeight="1">
      <c r="A5" s="1324"/>
      <c r="B5" s="1325"/>
      <c r="C5" s="1325"/>
      <c r="D5" s="1326"/>
      <c r="E5" s="1327" t="s">
        <v>549</v>
      </c>
      <c r="F5" s="1325" t="s">
        <v>7</v>
      </c>
      <c r="G5" s="1327" t="s">
        <v>299</v>
      </c>
      <c r="H5" s="1327" t="s">
        <v>528</v>
      </c>
      <c r="I5" s="1327"/>
      <c r="J5" s="1327"/>
      <c r="K5" s="1327"/>
      <c r="L5" s="1327"/>
      <c r="M5" s="1327"/>
      <c r="N5" s="1327"/>
      <c r="O5" s="1327"/>
      <c r="P5" s="1327"/>
      <c r="Q5" s="1327"/>
      <c r="R5" s="900">
        <v>2018</v>
      </c>
      <c r="S5" s="900">
        <v>2019</v>
      </c>
      <c r="T5" s="329"/>
      <c r="U5" s="329"/>
      <c r="V5" s="329"/>
      <c r="W5" s="329"/>
      <c r="X5" s="507"/>
      <c r="Y5" s="507"/>
      <c r="Z5" s="507"/>
      <c r="AA5" s="507"/>
      <c r="AB5" s="330"/>
      <c r="AC5" s="330"/>
      <c r="AD5" s="330"/>
      <c r="AE5" s="330"/>
      <c r="AF5" s="330"/>
      <c r="AG5" s="330"/>
      <c r="AH5" s="330"/>
      <c r="AI5" s="330"/>
      <c r="AJ5" s="330"/>
      <c r="AK5" s="330"/>
      <c r="AL5" s="330"/>
      <c r="AM5" s="330"/>
      <c r="AN5" s="330"/>
      <c r="AO5" s="330"/>
      <c r="AP5" s="330"/>
      <c r="AQ5" s="330"/>
      <c r="AR5" s="330"/>
      <c r="AS5" s="330"/>
      <c r="AT5" s="330"/>
      <c r="AU5" s="330"/>
    </row>
    <row r="6" spans="1:47" s="331" customFormat="1" ht="18.75" customHeight="1">
      <c r="A6" s="1324"/>
      <c r="B6" s="1325"/>
      <c r="C6" s="1325"/>
      <c r="D6" s="1326"/>
      <c r="E6" s="1327"/>
      <c r="F6" s="1325"/>
      <c r="G6" s="1327"/>
      <c r="H6" s="1084" t="s">
        <v>550</v>
      </c>
      <c r="I6" s="1084" t="s">
        <v>551</v>
      </c>
      <c r="J6" s="1084" t="s">
        <v>531</v>
      </c>
      <c r="K6" s="1084" t="s">
        <v>552</v>
      </c>
      <c r="L6" s="1084" t="s">
        <v>553</v>
      </c>
      <c r="M6" s="1084" t="s">
        <v>554</v>
      </c>
      <c r="N6" s="1084" t="s">
        <v>532</v>
      </c>
      <c r="O6" s="1084" t="s">
        <v>533</v>
      </c>
      <c r="P6" s="1084" t="s">
        <v>534</v>
      </c>
      <c r="Q6" s="1084" t="s">
        <v>555</v>
      </c>
      <c r="R6" s="901">
        <v>2017</v>
      </c>
      <c r="S6" s="902">
        <v>2018</v>
      </c>
      <c r="T6" s="329"/>
      <c r="U6" s="329"/>
      <c r="V6" s="329"/>
      <c r="W6" s="329"/>
      <c r="X6" s="507"/>
      <c r="Y6" s="507"/>
      <c r="Z6" s="507"/>
      <c r="AA6" s="507"/>
      <c r="AB6" s="330"/>
      <c r="AC6" s="330"/>
      <c r="AD6" s="330"/>
      <c r="AE6" s="330"/>
      <c r="AF6" s="330"/>
      <c r="AG6" s="330"/>
      <c r="AH6" s="330"/>
      <c r="AI6" s="330"/>
      <c r="AJ6" s="330"/>
      <c r="AK6" s="330"/>
      <c r="AL6" s="330"/>
      <c r="AM6" s="330"/>
      <c r="AN6" s="330"/>
      <c r="AO6" s="330"/>
      <c r="AP6" s="330"/>
      <c r="AQ6" s="330"/>
      <c r="AR6" s="330"/>
      <c r="AS6" s="330"/>
      <c r="AT6" s="330"/>
      <c r="AU6" s="330"/>
    </row>
    <row r="7" spans="1:40" s="334" customFormat="1" ht="14.25">
      <c r="A7" s="903" t="s">
        <v>48</v>
      </c>
      <c r="B7" s="904" t="s">
        <v>92</v>
      </c>
      <c r="C7" s="1084"/>
      <c r="D7" s="905"/>
      <c r="E7" s="905"/>
      <c r="F7" s="905"/>
      <c r="G7" s="905"/>
      <c r="H7" s="905"/>
      <c r="I7" s="905"/>
      <c r="J7" s="905"/>
      <c r="K7" s="905"/>
      <c r="L7" s="905"/>
      <c r="M7" s="905"/>
      <c r="N7" s="905"/>
      <c r="O7" s="905"/>
      <c r="P7" s="905"/>
      <c r="Q7" s="905"/>
      <c r="R7" s="905"/>
      <c r="S7" s="905"/>
      <c r="T7" s="332"/>
      <c r="U7" s="332"/>
      <c r="V7" s="332"/>
      <c r="W7" s="332"/>
      <c r="X7" s="337"/>
      <c r="Y7" s="337"/>
      <c r="Z7" s="337"/>
      <c r="AA7" s="337"/>
      <c r="AB7" s="333"/>
      <c r="AC7" s="333"/>
      <c r="AD7" s="333"/>
      <c r="AE7" s="333"/>
      <c r="AF7" s="333"/>
      <c r="AG7" s="333"/>
      <c r="AH7" s="333"/>
      <c r="AI7" s="333"/>
      <c r="AJ7" s="333"/>
      <c r="AK7" s="333"/>
      <c r="AL7" s="333"/>
      <c r="AM7" s="333"/>
      <c r="AN7" s="333"/>
    </row>
    <row r="8" spans="1:40" s="334" customFormat="1" ht="25.5">
      <c r="A8" s="937">
        <v>1</v>
      </c>
      <c r="B8" s="904" t="s">
        <v>556</v>
      </c>
      <c r="C8" s="1084" t="s">
        <v>11</v>
      </c>
      <c r="D8" s="938">
        <v>2405.79</v>
      </c>
      <c r="E8" s="938">
        <f>E9+E10+E11+E12</f>
        <v>2830</v>
      </c>
      <c r="F8" s="938">
        <v>2717.433</v>
      </c>
      <c r="G8" s="939">
        <v>3070</v>
      </c>
      <c r="H8" s="940">
        <v>1200</v>
      </c>
      <c r="I8" s="941">
        <v>130</v>
      </c>
      <c r="J8" s="941">
        <v>450</v>
      </c>
      <c r="K8" s="941">
        <v>40</v>
      </c>
      <c r="L8" s="941">
        <v>125</v>
      </c>
      <c r="M8" s="940">
        <v>734</v>
      </c>
      <c r="N8" s="941">
        <v>115</v>
      </c>
      <c r="O8" s="941">
        <v>180</v>
      </c>
      <c r="P8" s="941">
        <v>60</v>
      </c>
      <c r="Q8" s="941">
        <v>36</v>
      </c>
      <c r="R8" s="942">
        <f>+F8/D8*100</f>
        <v>112.95387377950694</v>
      </c>
      <c r="S8" s="942">
        <f>+G8/F8*100</f>
        <v>112.97426652285448</v>
      </c>
      <c r="T8" s="332"/>
      <c r="U8" s="332"/>
      <c r="V8" s="332"/>
      <c r="W8" s="943"/>
      <c r="X8" s="337"/>
      <c r="Y8" s="337"/>
      <c r="Z8" s="337"/>
      <c r="AA8" s="337"/>
      <c r="AB8" s="333"/>
      <c r="AC8" s="333"/>
      <c r="AD8" s="333"/>
      <c r="AE8" s="333"/>
      <c r="AF8" s="333"/>
      <c r="AG8" s="333"/>
      <c r="AH8" s="333"/>
      <c r="AI8" s="333"/>
      <c r="AJ8" s="333"/>
      <c r="AK8" s="333"/>
      <c r="AL8" s="333"/>
      <c r="AM8" s="333"/>
      <c r="AN8" s="333"/>
    </row>
    <row r="9" spans="1:40" s="336" customFormat="1" ht="15">
      <c r="A9" s="944"/>
      <c r="B9" s="945" t="s">
        <v>557</v>
      </c>
      <c r="C9" s="946" t="s">
        <v>11</v>
      </c>
      <c r="D9" s="947">
        <v>129.789</v>
      </c>
      <c r="E9" s="948">
        <v>130</v>
      </c>
      <c r="F9" s="948">
        <v>137.166</v>
      </c>
      <c r="G9" s="949">
        <v>135</v>
      </c>
      <c r="H9" s="950"/>
      <c r="I9" s="951"/>
      <c r="J9" s="952"/>
      <c r="K9" s="952"/>
      <c r="L9" s="952"/>
      <c r="M9" s="952"/>
      <c r="N9" s="952"/>
      <c r="O9" s="952"/>
      <c r="P9" s="952"/>
      <c r="Q9" s="952"/>
      <c r="R9" s="942">
        <f>+F9/D9*100</f>
        <v>105.68384069528236</v>
      </c>
      <c r="S9" s="942">
        <f>+G9/F9*100</f>
        <v>98.42089147456366</v>
      </c>
      <c r="T9" s="953"/>
      <c r="U9" s="326"/>
      <c r="V9" s="326"/>
      <c r="W9" s="326"/>
      <c r="X9" s="338"/>
      <c r="Y9" s="338"/>
      <c r="Z9" s="954">
        <f>F9/E9*100</f>
        <v>105.51230769230769</v>
      </c>
      <c r="AA9" s="338"/>
      <c r="AB9" s="335"/>
      <c r="AC9" s="335"/>
      <c r="AD9" s="335"/>
      <c r="AE9" s="335"/>
      <c r="AF9" s="335"/>
      <c r="AG9" s="335"/>
      <c r="AH9" s="335"/>
      <c r="AI9" s="335"/>
      <c r="AJ9" s="335"/>
      <c r="AK9" s="335"/>
      <c r="AL9" s="335"/>
      <c r="AM9" s="335"/>
      <c r="AN9" s="335"/>
    </row>
    <row r="10" spans="1:40" s="336" customFormat="1" ht="15">
      <c r="A10" s="944"/>
      <c r="B10" s="945" t="s">
        <v>558</v>
      </c>
      <c r="C10" s="946" t="s">
        <v>11</v>
      </c>
      <c r="D10" s="947">
        <v>1905.075</v>
      </c>
      <c r="E10" s="948">
        <v>2260</v>
      </c>
      <c r="F10" s="948">
        <v>2103.254</v>
      </c>
      <c r="G10" s="908">
        <v>2423</v>
      </c>
      <c r="H10" s="950"/>
      <c r="I10" s="951"/>
      <c r="J10" s="952"/>
      <c r="K10" s="952"/>
      <c r="L10" s="952"/>
      <c r="M10" s="952"/>
      <c r="N10" s="952"/>
      <c r="O10" s="952"/>
      <c r="P10" s="952"/>
      <c r="Q10" s="952"/>
      <c r="R10" s="942">
        <f>+F10/D10*100</f>
        <v>110.40268755823261</v>
      </c>
      <c r="S10" s="942">
        <f>+G10/F10*100</f>
        <v>115.20244345190834</v>
      </c>
      <c r="T10" s="953"/>
      <c r="U10" s="326"/>
      <c r="V10" s="326"/>
      <c r="W10" s="326"/>
      <c r="X10" s="955"/>
      <c r="Y10" s="338"/>
      <c r="Z10" s="954">
        <f>F10/E10*100</f>
        <v>93.06433628318584</v>
      </c>
      <c r="AA10" s="338"/>
      <c r="AB10" s="335"/>
      <c r="AC10" s="335"/>
      <c r="AD10" s="335"/>
      <c r="AE10" s="335"/>
      <c r="AF10" s="335"/>
      <c r="AG10" s="335"/>
      <c r="AH10" s="335"/>
      <c r="AI10" s="335"/>
      <c r="AJ10" s="335"/>
      <c r="AK10" s="335"/>
      <c r="AL10" s="335"/>
      <c r="AM10" s="335"/>
      <c r="AN10" s="335"/>
    </row>
    <row r="11" spans="1:40" s="336" customFormat="1" ht="12.75" customHeight="1">
      <c r="A11" s="944"/>
      <c r="B11" s="945" t="s">
        <v>559</v>
      </c>
      <c r="C11" s="946" t="s">
        <v>11</v>
      </c>
      <c r="D11" s="947">
        <v>330.964</v>
      </c>
      <c r="E11" s="948">
        <v>390</v>
      </c>
      <c r="F11" s="948">
        <v>434.39</v>
      </c>
      <c r="G11" s="908">
        <v>460</v>
      </c>
      <c r="H11" s="950"/>
      <c r="I11" s="951"/>
      <c r="J11" s="952"/>
      <c r="K11" s="952"/>
      <c r="L11" s="952"/>
      <c r="M11" s="952"/>
      <c r="N11" s="952"/>
      <c r="O11" s="952"/>
      <c r="P11" s="952"/>
      <c r="Q11" s="952"/>
      <c r="R11" s="942">
        <f>+F11/D11*100</f>
        <v>131.2499244630836</v>
      </c>
      <c r="S11" s="942">
        <f>+G11/F11*100</f>
        <v>105.89562374824466</v>
      </c>
      <c r="T11" s="953"/>
      <c r="U11" s="326"/>
      <c r="V11" s="326"/>
      <c r="W11" s="326"/>
      <c r="X11" s="955"/>
      <c r="Y11" s="338"/>
      <c r="Z11" s="954">
        <f>F11/E11*100</f>
        <v>111.38205128205128</v>
      </c>
      <c r="AA11" s="338"/>
      <c r="AB11" s="335"/>
      <c r="AC11" s="335"/>
      <c r="AD11" s="335"/>
      <c r="AE11" s="335"/>
      <c r="AF11" s="335"/>
      <c r="AG11" s="335"/>
      <c r="AH11" s="335"/>
      <c r="AI11" s="335"/>
      <c r="AJ11" s="335"/>
      <c r="AK11" s="335"/>
      <c r="AL11" s="335"/>
      <c r="AM11" s="335"/>
      <c r="AN11" s="335"/>
    </row>
    <row r="12" spans="1:40" s="336" customFormat="1" ht="15">
      <c r="A12" s="944"/>
      <c r="B12" s="945" t="s">
        <v>560</v>
      </c>
      <c r="C12" s="946" t="s">
        <v>11</v>
      </c>
      <c r="D12" s="947">
        <v>39.962</v>
      </c>
      <c r="E12" s="948">
        <v>50</v>
      </c>
      <c r="F12" s="948">
        <v>42.623</v>
      </c>
      <c r="G12" s="956">
        <v>52</v>
      </c>
      <c r="H12" s="950"/>
      <c r="I12" s="951"/>
      <c r="J12" s="952"/>
      <c r="K12" s="952"/>
      <c r="L12" s="952"/>
      <c r="M12" s="952"/>
      <c r="N12" s="952"/>
      <c r="O12" s="952"/>
      <c r="P12" s="952"/>
      <c r="Q12" s="952"/>
      <c r="R12" s="942">
        <f>+F12/D12*100</f>
        <v>106.65882588459034</v>
      </c>
      <c r="S12" s="942">
        <f>+G12/F12*100</f>
        <v>121.99985923093166</v>
      </c>
      <c r="T12" s="953"/>
      <c r="U12" s="326"/>
      <c r="V12" s="326"/>
      <c r="W12" s="326"/>
      <c r="X12" s="955"/>
      <c r="Y12" s="338"/>
      <c r="Z12" s="954">
        <f>F12/E12*100</f>
        <v>85.246</v>
      </c>
      <c r="AA12" s="338"/>
      <c r="AB12" s="335"/>
      <c r="AC12" s="335"/>
      <c r="AD12" s="335"/>
      <c r="AE12" s="335"/>
      <c r="AF12" s="335"/>
      <c r="AG12" s="335"/>
      <c r="AH12" s="335"/>
      <c r="AI12" s="335"/>
      <c r="AJ12" s="335"/>
      <c r="AK12" s="335"/>
      <c r="AL12" s="335"/>
      <c r="AM12" s="335"/>
      <c r="AN12" s="335"/>
    </row>
    <row r="13" spans="1:40" s="957" customFormat="1" ht="25.5">
      <c r="A13" s="937">
        <v>2</v>
      </c>
      <c r="B13" s="904" t="s">
        <v>561</v>
      </c>
      <c r="C13" s="1084"/>
      <c r="D13" s="905"/>
      <c r="E13" s="905"/>
      <c r="F13" s="906"/>
      <c r="G13" s="905"/>
      <c r="H13" s="905"/>
      <c r="I13" s="905"/>
      <c r="J13" s="905"/>
      <c r="K13" s="905"/>
      <c r="L13" s="905"/>
      <c r="M13" s="905"/>
      <c r="N13" s="905"/>
      <c r="O13" s="905"/>
      <c r="P13" s="905"/>
      <c r="Q13" s="905"/>
      <c r="R13" s="942"/>
      <c r="S13" s="942"/>
      <c r="T13" s="337"/>
      <c r="U13" s="337"/>
      <c r="V13" s="337"/>
      <c r="W13" s="337"/>
      <c r="X13" s="337"/>
      <c r="Y13" s="337"/>
      <c r="Z13" s="337"/>
      <c r="AA13" s="337"/>
      <c r="AB13" s="337"/>
      <c r="AC13" s="337"/>
      <c r="AD13" s="337"/>
      <c r="AE13" s="337"/>
      <c r="AF13" s="337"/>
      <c r="AG13" s="337"/>
      <c r="AH13" s="337"/>
      <c r="AI13" s="337"/>
      <c r="AJ13" s="337"/>
      <c r="AK13" s="337"/>
      <c r="AL13" s="337"/>
      <c r="AM13" s="337"/>
      <c r="AN13" s="337"/>
    </row>
    <row r="14" spans="1:40" s="964" customFormat="1" ht="15.75" customHeight="1">
      <c r="A14" s="944"/>
      <c r="B14" s="958" t="s">
        <v>447</v>
      </c>
      <c r="C14" s="946" t="s">
        <v>562</v>
      </c>
      <c r="D14" s="907">
        <v>398</v>
      </c>
      <c r="E14" s="959">
        <v>440</v>
      </c>
      <c r="F14" s="959">
        <v>512</v>
      </c>
      <c r="G14" s="959">
        <v>522</v>
      </c>
      <c r="H14" s="908">
        <v>78</v>
      </c>
      <c r="I14" s="909"/>
      <c r="J14" s="908">
        <v>50</v>
      </c>
      <c r="K14" s="908"/>
      <c r="L14" s="908"/>
      <c r="M14" s="908">
        <v>40</v>
      </c>
      <c r="N14" s="908">
        <v>30</v>
      </c>
      <c r="O14" s="908">
        <v>324</v>
      </c>
      <c r="P14" s="909"/>
      <c r="Q14" s="909"/>
      <c r="R14" s="942">
        <f aca="true" t="shared" si="0" ref="R14:R22">+F14/D14*100</f>
        <v>128.643216080402</v>
      </c>
      <c r="S14" s="942">
        <f>+G14/F14*100</f>
        <v>101.953125</v>
      </c>
      <c r="T14" s="960"/>
      <c r="U14" s="961"/>
      <c r="V14" s="953"/>
      <c r="W14" s="953"/>
      <c r="X14" s="955">
        <f>+SUM(H14:Q14)</f>
        <v>522</v>
      </c>
      <c r="Y14" s="962" t="s">
        <v>447</v>
      </c>
      <c r="Z14" s="961" t="s">
        <v>453</v>
      </c>
      <c r="AA14" s="963">
        <f>+G14-X14</f>
        <v>0</v>
      </c>
      <c r="AB14" s="338"/>
      <c r="AC14" s="338"/>
      <c r="AD14" s="338"/>
      <c r="AE14" s="338"/>
      <c r="AF14" s="338"/>
      <c r="AG14" s="338"/>
      <c r="AH14" s="338"/>
      <c r="AI14" s="338"/>
      <c r="AJ14" s="338"/>
      <c r="AK14" s="338"/>
      <c r="AL14" s="338"/>
      <c r="AM14" s="338"/>
      <c r="AN14" s="338"/>
    </row>
    <row r="15" spans="1:40" s="964" customFormat="1" ht="16.5" customHeight="1">
      <c r="A15" s="944"/>
      <c r="B15" s="965" t="s">
        <v>563</v>
      </c>
      <c r="C15" s="946" t="s">
        <v>454</v>
      </c>
      <c r="D15" s="907">
        <v>8.95</v>
      </c>
      <c r="E15" s="959">
        <v>10</v>
      </c>
      <c r="F15" s="959">
        <v>6.444</v>
      </c>
      <c r="G15" s="959">
        <v>7</v>
      </c>
      <c r="H15" s="908">
        <v>3</v>
      </c>
      <c r="I15" s="908"/>
      <c r="J15" s="908"/>
      <c r="K15" s="908"/>
      <c r="L15" s="908"/>
      <c r="M15" s="908"/>
      <c r="N15" s="908">
        <v>4</v>
      </c>
      <c r="O15" s="908"/>
      <c r="P15" s="908"/>
      <c r="Q15" s="908"/>
      <c r="R15" s="942">
        <f t="shared" si="0"/>
        <v>72.00000000000001</v>
      </c>
      <c r="S15" s="942">
        <f aca="true" t="shared" si="1" ref="S15:S24">+G15/F15*100</f>
        <v>108.62818125387959</v>
      </c>
      <c r="T15" s="966"/>
      <c r="U15" s="961"/>
      <c r="V15" s="953"/>
      <c r="W15" s="953"/>
      <c r="X15" s="955">
        <f aca="true" t="shared" si="2" ref="X15:X22">+SUM(H15:Q15)</f>
        <v>7</v>
      </c>
      <c r="Y15" s="966" t="s">
        <v>448</v>
      </c>
      <c r="Z15" s="961" t="s">
        <v>454</v>
      </c>
      <c r="AA15" s="963">
        <f aca="true" t="shared" si="3" ref="AA15:AA22">+G15-X15</f>
        <v>0</v>
      </c>
      <c r="AB15" s="338"/>
      <c r="AC15" s="338"/>
      <c r="AD15" s="338"/>
      <c r="AE15" s="338"/>
      <c r="AF15" s="338"/>
      <c r="AG15" s="338"/>
      <c r="AH15" s="338"/>
      <c r="AI15" s="338"/>
      <c r="AJ15" s="338"/>
      <c r="AK15" s="338"/>
      <c r="AL15" s="338"/>
      <c r="AM15" s="338"/>
      <c r="AN15" s="338"/>
    </row>
    <row r="16" spans="1:40" s="964" customFormat="1" ht="24">
      <c r="A16" s="944"/>
      <c r="B16" s="958" t="s">
        <v>449</v>
      </c>
      <c r="C16" s="916" t="s">
        <v>496</v>
      </c>
      <c r="D16" s="907">
        <v>691.01</v>
      </c>
      <c r="E16" s="959">
        <v>650</v>
      </c>
      <c r="F16" s="959">
        <v>735.693</v>
      </c>
      <c r="G16" s="959">
        <v>700</v>
      </c>
      <c r="H16" s="908">
        <v>500</v>
      </c>
      <c r="I16" s="908">
        <v>50</v>
      </c>
      <c r="J16" s="908">
        <v>15</v>
      </c>
      <c r="K16" s="908">
        <v>25</v>
      </c>
      <c r="L16" s="908">
        <v>25</v>
      </c>
      <c r="M16" s="908"/>
      <c r="N16" s="908">
        <v>25</v>
      </c>
      <c r="O16" s="908">
        <v>30</v>
      </c>
      <c r="P16" s="908">
        <v>15</v>
      </c>
      <c r="Q16" s="908">
        <v>15</v>
      </c>
      <c r="R16" s="942">
        <f t="shared" si="0"/>
        <v>106.46633189100012</v>
      </c>
      <c r="S16" s="942">
        <f t="shared" si="1"/>
        <v>95.14838390469939</v>
      </c>
      <c r="T16" s="960"/>
      <c r="U16" s="967"/>
      <c r="V16" s="953"/>
      <c r="W16" s="953"/>
      <c r="X16" s="955">
        <f t="shared" si="2"/>
        <v>700</v>
      </c>
      <c r="Y16" s="962" t="s">
        <v>449</v>
      </c>
      <c r="Z16" s="968" t="s">
        <v>496</v>
      </c>
      <c r="AA16" s="963">
        <f t="shared" si="3"/>
        <v>0</v>
      </c>
      <c r="AB16" s="338"/>
      <c r="AC16" s="338"/>
      <c r="AD16" s="338"/>
      <c r="AE16" s="338"/>
      <c r="AF16" s="338"/>
      <c r="AG16" s="338"/>
      <c r="AH16" s="338"/>
      <c r="AI16" s="338"/>
      <c r="AJ16" s="338"/>
      <c r="AK16" s="338"/>
      <c r="AL16" s="338"/>
      <c r="AM16" s="338"/>
      <c r="AN16" s="338"/>
    </row>
    <row r="17" spans="1:40" s="964" customFormat="1" ht="12.75">
      <c r="A17" s="944"/>
      <c r="B17" s="958" t="s">
        <v>497</v>
      </c>
      <c r="C17" s="916" t="s">
        <v>455</v>
      </c>
      <c r="D17" s="910">
        <v>69.7</v>
      </c>
      <c r="E17" s="959">
        <v>70</v>
      </c>
      <c r="F17" s="959">
        <v>70</v>
      </c>
      <c r="G17" s="959">
        <v>73</v>
      </c>
      <c r="H17" s="908">
        <v>33</v>
      </c>
      <c r="I17" s="908">
        <v>8</v>
      </c>
      <c r="J17" s="908">
        <v>10</v>
      </c>
      <c r="K17" s="908">
        <v>8</v>
      </c>
      <c r="L17" s="908">
        <v>6</v>
      </c>
      <c r="M17" s="908"/>
      <c r="N17" s="908"/>
      <c r="O17" s="908"/>
      <c r="P17" s="908"/>
      <c r="Q17" s="908">
        <v>8</v>
      </c>
      <c r="R17" s="942">
        <f t="shared" si="0"/>
        <v>100.43041606886656</v>
      </c>
      <c r="S17" s="942">
        <f t="shared" si="1"/>
        <v>104.28571428571429</v>
      </c>
      <c r="T17" s="960"/>
      <c r="U17" s="967"/>
      <c r="V17" s="969"/>
      <c r="W17" s="953"/>
      <c r="X17" s="955">
        <f t="shared" si="2"/>
        <v>73</v>
      </c>
      <c r="Y17" s="962" t="s">
        <v>497</v>
      </c>
      <c r="Z17" s="968" t="s">
        <v>455</v>
      </c>
      <c r="AA17" s="963">
        <f t="shared" si="3"/>
        <v>0</v>
      </c>
      <c r="AB17" s="338"/>
      <c r="AC17" s="338"/>
      <c r="AD17" s="338"/>
      <c r="AE17" s="338"/>
      <c r="AF17" s="338"/>
      <c r="AG17" s="338"/>
      <c r="AH17" s="338"/>
      <c r="AI17" s="338"/>
      <c r="AJ17" s="338"/>
      <c r="AK17" s="338"/>
      <c r="AL17" s="338"/>
      <c r="AM17" s="338"/>
      <c r="AN17" s="338"/>
    </row>
    <row r="18" spans="1:40" s="964" customFormat="1" ht="24">
      <c r="A18" s="944"/>
      <c r="B18" s="958" t="s">
        <v>498</v>
      </c>
      <c r="C18" s="916" t="s">
        <v>456</v>
      </c>
      <c r="D18" s="910">
        <v>8.31</v>
      </c>
      <c r="E18" s="959">
        <v>8.45</v>
      </c>
      <c r="F18" s="959">
        <v>8.742</v>
      </c>
      <c r="G18" s="959">
        <v>8.8</v>
      </c>
      <c r="H18" s="911">
        <v>1.6</v>
      </c>
      <c r="I18" s="912"/>
      <c r="J18" s="912"/>
      <c r="K18" s="912"/>
      <c r="L18" s="912"/>
      <c r="M18" s="912">
        <v>7.2</v>
      </c>
      <c r="N18" s="912"/>
      <c r="O18" s="912"/>
      <c r="P18" s="912"/>
      <c r="Q18" s="912"/>
      <c r="R18" s="942">
        <f t="shared" si="0"/>
        <v>105.1985559566787</v>
      </c>
      <c r="S18" s="942">
        <f t="shared" si="1"/>
        <v>100.663463738275</v>
      </c>
      <c r="T18" s="960"/>
      <c r="U18" s="967"/>
      <c r="V18" s="970"/>
      <c r="W18" s="953"/>
      <c r="X18" s="955">
        <f t="shared" si="2"/>
        <v>8.8</v>
      </c>
      <c r="Y18" s="962" t="s">
        <v>498</v>
      </c>
      <c r="Z18" s="968" t="s">
        <v>456</v>
      </c>
      <c r="AA18" s="963">
        <f t="shared" si="3"/>
        <v>0</v>
      </c>
      <c r="AB18" s="338"/>
      <c r="AC18" s="338"/>
      <c r="AD18" s="338"/>
      <c r="AE18" s="338"/>
      <c r="AF18" s="338"/>
      <c r="AG18" s="338"/>
      <c r="AH18" s="338"/>
      <c r="AI18" s="338"/>
      <c r="AJ18" s="338"/>
      <c r="AK18" s="338"/>
      <c r="AL18" s="338"/>
      <c r="AM18" s="338"/>
      <c r="AN18" s="338"/>
    </row>
    <row r="19" spans="1:40" s="964" customFormat="1" ht="24">
      <c r="A19" s="944"/>
      <c r="B19" s="958" t="s">
        <v>450</v>
      </c>
      <c r="C19" s="916" t="s">
        <v>457</v>
      </c>
      <c r="D19" s="907">
        <v>2178</v>
      </c>
      <c r="E19" s="959">
        <v>2200</v>
      </c>
      <c r="F19" s="959">
        <v>2240</v>
      </c>
      <c r="G19" s="959">
        <v>2300</v>
      </c>
      <c r="H19" s="908">
        <v>2300</v>
      </c>
      <c r="I19" s="908"/>
      <c r="J19" s="908"/>
      <c r="K19" s="908"/>
      <c r="L19" s="908"/>
      <c r="M19" s="908"/>
      <c r="N19" s="908"/>
      <c r="O19" s="908"/>
      <c r="P19" s="908"/>
      <c r="Q19" s="908"/>
      <c r="R19" s="942">
        <f t="shared" si="0"/>
        <v>102.84664830119377</v>
      </c>
      <c r="S19" s="942">
        <f t="shared" si="1"/>
        <v>102.67857142857142</v>
      </c>
      <c r="T19" s="960"/>
      <c r="U19" s="967"/>
      <c r="V19" s="953"/>
      <c r="W19" s="953"/>
      <c r="X19" s="955">
        <f t="shared" si="2"/>
        <v>2300</v>
      </c>
      <c r="Y19" s="962" t="s">
        <v>450</v>
      </c>
      <c r="Z19" s="968" t="s">
        <v>457</v>
      </c>
      <c r="AA19" s="963">
        <f t="shared" si="3"/>
        <v>0</v>
      </c>
      <c r="AB19" s="338"/>
      <c r="AC19" s="338"/>
      <c r="AD19" s="338"/>
      <c r="AE19" s="338"/>
      <c r="AF19" s="338"/>
      <c r="AG19" s="338"/>
      <c r="AH19" s="338"/>
      <c r="AI19" s="338"/>
      <c r="AJ19" s="338"/>
      <c r="AK19" s="338"/>
      <c r="AL19" s="338"/>
      <c r="AM19" s="338"/>
      <c r="AN19" s="338"/>
    </row>
    <row r="20" spans="1:40" s="964" customFormat="1" ht="12.75">
      <c r="A20" s="944"/>
      <c r="B20" s="958" t="s">
        <v>499</v>
      </c>
      <c r="C20" s="946" t="s">
        <v>56</v>
      </c>
      <c r="D20" s="907">
        <v>237.3</v>
      </c>
      <c r="E20" s="959">
        <v>270</v>
      </c>
      <c r="F20" s="959">
        <v>264.154</v>
      </c>
      <c r="G20" s="959">
        <v>270</v>
      </c>
      <c r="H20" s="908">
        <v>270</v>
      </c>
      <c r="I20" s="908"/>
      <c r="J20" s="908"/>
      <c r="K20" s="908"/>
      <c r="L20" s="908"/>
      <c r="M20" s="908"/>
      <c r="N20" s="908"/>
      <c r="O20" s="908"/>
      <c r="P20" s="908"/>
      <c r="Q20" s="908"/>
      <c r="R20" s="942">
        <f t="shared" si="0"/>
        <v>111.31647703329119</v>
      </c>
      <c r="S20" s="942">
        <f t="shared" si="1"/>
        <v>102.21310296266573</v>
      </c>
      <c r="T20" s="960"/>
      <c r="U20" s="961"/>
      <c r="V20" s="953"/>
      <c r="W20" s="953"/>
      <c r="X20" s="955">
        <f t="shared" si="2"/>
        <v>270</v>
      </c>
      <c r="Y20" s="962" t="s">
        <v>499</v>
      </c>
      <c r="Z20" s="961" t="s">
        <v>60</v>
      </c>
      <c r="AA20" s="963">
        <f t="shared" si="3"/>
        <v>0</v>
      </c>
      <c r="AB20" s="338"/>
      <c r="AC20" s="338"/>
      <c r="AD20" s="338"/>
      <c r="AE20" s="338"/>
      <c r="AF20" s="338"/>
      <c r="AG20" s="338"/>
      <c r="AH20" s="338"/>
      <c r="AI20" s="338"/>
      <c r="AJ20" s="338"/>
      <c r="AK20" s="338"/>
      <c r="AL20" s="338"/>
      <c r="AM20" s="338"/>
      <c r="AN20" s="338"/>
    </row>
    <row r="21" spans="1:40" s="964" customFormat="1" ht="24">
      <c r="A21" s="944"/>
      <c r="B21" s="958" t="s">
        <v>451</v>
      </c>
      <c r="C21" s="916" t="s">
        <v>458</v>
      </c>
      <c r="D21" s="913">
        <v>813</v>
      </c>
      <c r="E21" s="959">
        <v>1100</v>
      </c>
      <c r="F21" s="959">
        <v>713</v>
      </c>
      <c r="G21" s="959">
        <v>1100</v>
      </c>
      <c r="H21" s="914">
        <v>1100</v>
      </c>
      <c r="I21" s="914"/>
      <c r="J21" s="914"/>
      <c r="K21" s="914"/>
      <c r="L21" s="914"/>
      <c r="M21" s="914"/>
      <c r="N21" s="914"/>
      <c r="O21" s="914"/>
      <c r="P21" s="914"/>
      <c r="Q21" s="914"/>
      <c r="R21" s="942">
        <f t="shared" si="0"/>
        <v>87.69987699877</v>
      </c>
      <c r="S21" s="942">
        <f t="shared" si="1"/>
        <v>154.27769985974754</v>
      </c>
      <c r="T21" s="960"/>
      <c r="U21" s="967"/>
      <c r="V21" s="971"/>
      <c r="W21" s="953"/>
      <c r="X21" s="955">
        <f t="shared" si="2"/>
        <v>1100</v>
      </c>
      <c r="Y21" s="962" t="s">
        <v>451</v>
      </c>
      <c r="Z21" s="968" t="s">
        <v>458</v>
      </c>
      <c r="AA21" s="963">
        <f t="shared" si="3"/>
        <v>0</v>
      </c>
      <c r="AB21" s="338"/>
      <c r="AC21" s="338"/>
      <c r="AD21" s="338"/>
      <c r="AE21" s="338"/>
      <c r="AF21" s="338"/>
      <c r="AG21" s="338"/>
      <c r="AH21" s="338"/>
      <c r="AI21" s="338"/>
      <c r="AJ21" s="338"/>
      <c r="AK21" s="338"/>
      <c r="AL21" s="338"/>
      <c r="AM21" s="338"/>
      <c r="AN21" s="338"/>
    </row>
    <row r="22" spans="1:40" s="964" customFormat="1" ht="24">
      <c r="A22" s="944"/>
      <c r="B22" s="958" t="s">
        <v>452</v>
      </c>
      <c r="C22" s="916" t="s">
        <v>564</v>
      </c>
      <c r="D22" s="915">
        <v>23.246</v>
      </c>
      <c r="E22" s="972">
        <v>30</v>
      </c>
      <c r="F22" s="973">
        <v>24.783</v>
      </c>
      <c r="G22" s="972">
        <v>25.8</v>
      </c>
      <c r="H22" s="916">
        <v>5.7</v>
      </c>
      <c r="I22" s="916"/>
      <c r="J22" s="916"/>
      <c r="K22" s="916"/>
      <c r="L22" s="916"/>
      <c r="M22" s="916">
        <v>20.1</v>
      </c>
      <c r="N22" s="916"/>
      <c r="O22" s="916"/>
      <c r="P22" s="916"/>
      <c r="Q22" s="916"/>
      <c r="R22" s="942">
        <f t="shared" si="0"/>
        <v>106.61189021767188</v>
      </c>
      <c r="S22" s="942">
        <f t="shared" si="1"/>
        <v>104.10361941653552</v>
      </c>
      <c r="T22" s="338"/>
      <c r="U22" s="338"/>
      <c r="V22" s="338"/>
      <c r="W22" s="338"/>
      <c r="X22" s="955">
        <f t="shared" si="2"/>
        <v>25.8</v>
      </c>
      <c r="Y22" s="962" t="s">
        <v>452</v>
      </c>
      <c r="Z22" s="968" t="s">
        <v>500</v>
      </c>
      <c r="AA22" s="963">
        <f t="shared" si="3"/>
        <v>0</v>
      </c>
      <c r="AB22" s="338"/>
      <c r="AC22" s="338"/>
      <c r="AD22" s="338"/>
      <c r="AE22" s="338"/>
      <c r="AF22" s="338"/>
      <c r="AG22" s="338"/>
      <c r="AH22" s="338"/>
      <c r="AI22" s="338"/>
      <c r="AJ22" s="338"/>
      <c r="AK22" s="338"/>
      <c r="AL22" s="338"/>
      <c r="AM22" s="338"/>
      <c r="AN22" s="338"/>
    </row>
    <row r="23" spans="1:40" s="957" customFormat="1" ht="12.75">
      <c r="A23" s="903" t="s">
        <v>91</v>
      </c>
      <c r="B23" s="904" t="s">
        <v>565</v>
      </c>
      <c r="C23" s="1084"/>
      <c r="D23" s="905"/>
      <c r="E23" s="905"/>
      <c r="F23" s="905"/>
      <c r="G23" s="905"/>
      <c r="H23" s="905"/>
      <c r="I23" s="905"/>
      <c r="J23" s="905"/>
      <c r="K23" s="905"/>
      <c r="L23" s="905"/>
      <c r="M23" s="905"/>
      <c r="N23" s="905"/>
      <c r="O23" s="905"/>
      <c r="P23" s="905"/>
      <c r="Q23" s="905"/>
      <c r="R23" s="942"/>
      <c r="S23" s="942"/>
      <c r="T23" s="337"/>
      <c r="U23" s="337"/>
      <c r="V23" s="337"/>
      <c r="W23" s="337"/>
      <c r="X23" s="337"/>
      <c r="Y23" s="337"/>
      <c r="Z23" s="337"/>
      <c r="AA23" s="337"/>
      <c r="AB23" s="337"/>
      <c r="AC23" s="337"/>
      <c r="AD23" s="337"/>
      <c r="AE23" s="337"/>
      <c r="AF23" s="337"/>
      <c r="AG23" s="337"/>
      <c r="AH23" s="337"/>
      <c r="AI23" s="337"/>
      <c r="AJ23" s="337"/>
      <c r="AK23" s="337"/>
      <c r="AL23" s="337"/>
      <c r="AM23" s="337"/>
      <c r="AN23" s="337"/>
    </row>
    <row r="24" spans="1:40" s="336" customFormat="1" ht="25.5">
      <c r="A24" s="944"/>
      <c r="B24" s="958" t="s">
        <v>566</v>
      </c>
      <c r="C24" s="916" t="s">
        <v>11</v>
      </c>
      <c r="D24" s="917">
        <v>9525.202</v>
      </c>
      <c r="E24" s="918">
        <v>11100</v>
      </c>
      <c r="F24" s="918">
        <v>11142.034</v>
      </c>
      <c r="G24" s="919">
        <v>12760</v>
      </c>
      <c r="H24" s="920">
        <v>2159</v>
      </c>
      <c r="I24" s="920">
        <v>804</v>
      </c>
      <c r="J24" s="920">
        <v>1012</v>
      </c>
      <c r="K24" s="920">
        <v>476</v>
      </c>
      <c r="L24" s="920">
        <v>551</v>
      </c>
      <c r="M24" s="920">
        <v>5777</v>
      </c>
      <c r="N24" s="920">
        <v>641</v>
      </c>
      <c r="O24" s="920">
        <v>641</v>
      </c>
      <c r="P24" s="920">
        <v>446</v>
      </c>
      <c r="Q24" s="920">
        <v>253</v>
      </c>
      <c r="R24" s="942">
        <f aca="true" t="shared" si="4" ref="R24:R29">+F24/D24*100</f>
        <v>116.97425419429426</v>
      </c>
      <c r="S24" s="942">
        <f t="shared" si="1"/>
        <v>114.52128040535507</v>
      </c>
      <c r="T24" s="326">
        <f>F24/E24</f>
        <v>1.0037868468468467</v>
      </c>
      <c r="U24" s="326">
        <f>F24/D24</f>
        <v>1.1697425419429426</v>
      </c>
      <c r="V24" s="326"/>
      <c r="W24" s="326"/>
      <c r="X24" s="338"/>
      <c r="Y24" s="338">
        <f>11100/12000</f>
        <v>0.925</v>
      </c>
      <c r="Z24" s="338"/>
      <c r="AA24" s="338"/>
      <c r="AB24" s="335"/>
      <c r="AC24" s="335"/>
      <c r="AD24" s="335"/>
      <c r="AE24" s="335"/>
      <c r="AF24" s="335"/>
      <c r="AG24" s="335"/>
      <c r="AH24" s="335"/>
      <c r="AI24" s="335"/>
      <c r="AJ24" s="335"/>
      <c r="AK24" s="335"/>
      <c r="AL24" s="335"/>
      <c r="AM24" s="335"/>
      <c r="AN24" s="335"/>
    </row>
    <row r="25" spans="1:40" s="336" customFormat="1" ht="24" customHeight="1" hidden="1">
      <c r="A25" s="944"/>
      <c r="B25" s="974" t="s">
        <v>567</v>
      </c>
      <c r="C25" s="916" t="s">
        <v>11</v>
      </c>
      <c r="D25" s="921"/>
      <c r="E25" s="921"/>
      <c r="F25" s="921"/>
      <c r="G25" s="921"/>
      <c r="H25" s="921"/>
      <c r="I25" s="921"/>
      <c r="J25" s="921"/>
      <c r="K25" s="921"/>
      <c r="L25" s="921"/>
      <c r="M25" s="921"/>
      <c r="N25" s="921"/>
      <c r="O25" s="921"/>
      <c r="P25" s="921"/>
      <c r="Q25" s="921"/>
      <c r="R25" s="942" t="e">
        <f t="shared" si="4"/>
        <v>#DIV/0!</v>
      </c>
      <c r="S25" s="942" t="e">
        <f>+G25/E25*100</f>
        <v>#DIV/0!</v>
      </c>
      <c r="T25" s="332"/>
      <c r="U25" s="326"/>
      <c r="V25" s="326"/>
      <c r="W25" s="326"/>
      <c r="X25" s="338"/>
      <c r="Y25" s="338"/>
      <c r="Z25" s="338"/>
      <c r="AA25" s="338"/>
      <c r="AB25" s="335"/>
      <c r="AC25" s="335"/>
      <c r="AD25" s="335"/>
      <c r="AE25" s="335"/>
      <c r="AF25" s="335"/>
      <c r="AG25" s="335"/>
      <c r="AH25" s="335"/>
      <c r="AI25" s="335"/>
      <c r="AJ25" s="335"/>
      <c r="AK25" s="335"/>
      <c r="AL25" s="335"/>
      <c r="AM25" s="335"/>
      <c r="AN25" s="335"/>
    </row>
    <row r="26" spans="1:40" s="336" customFormat="1" ht="15" customHeight="1" hidden="1">
      <c r="A26" s="944"/>
      <c r="B26" s="975" t="s">
        <v>12</v>
      </c>
      <c r="C26" s="916"/>
      <c r="D26" s="921"/>
      <c r="E26" s="921"/>
      <c r="F26" s="921"/>
      <c r="G26" s="921"/>
      <c r="H26" s="921"/>
      <c r="I26" s="921"/>
      <c r="J26" s="921"/>
      <c r="K26" s="921"/>
      <c r="L26" s="921"/>
      <c r="M26" s="921"/>
      <c r="N26" s="921"/>
      <c r="O26" s="921"/>
      <c r="P26" s="921"/>
      <c r="Q26" s="921"/>
      <c r="R26" s="942" t="e">
        <f t="shared" si="4"/>
        <v>#DIV/0!</v>
      </c>
      <c r="S26" s="942" t="e">
        <f>+G26/E26*100</f>
        <v>#DIV/0!</v>
      </c>
      <c r="T26" s="332"/>
      <c r="U26" s="326"/>
      <c r="V26" s="326"/>
      <c r="W26" s="326"/>
      <c r="X26" s="338"/>
      <c r="Y26" s="338"/>
      <c r="Z26" s="338"/>
      <c r="AA26" s="338"/>
      <c r="AB26" s="335"/>
      <c r="AC26" s="335"/>
      <c r="AD26" s="335"/>
      <c r="AE26" s="335"/>
      <c r="AF26" s="335"/>
      <c r="AG26" s="335"/>
      <c r="AH26" s="335"/>
      <c r="AI26" s="335"/>
      <c r="AJ26" s="335"/>
      <c r="AK26" s="335"/>
      <c r="AL26" s="335"/>
      <c r="AM26" s="335"/>
      <c r="AN26" s="335"/>
    </row>
    <row r="27" spans="1:40" s="336" customFormat="1" ht="15" customHeight="1" hidden="1">
      <c r="A27" s="944"/>
      <c r="B27" s="976" t="s">
        <v>568</v>
      </c>
      <c r="C27" s="916" t="s">
        <v>11</v>
      </c>
      <c r="D27" s="921"/>
      <c r="E27" s="921"/>
      <c r="F27" s="921"/>
      <c r="G27" s="921"/>
      <c r="H27" s="921"/>
      <c r="I27" s="921"/>
      <c r="J27" s="921"/>
      <c r="K27" s="921"/>
      <c r="L27" s="921"/>
      <c r="M27" s="921"/>
      <c r="N27" s="921"/>
      <c r="O27" s="921"/>
      <c r="P27" s="921"/>
      <c r="Q27" s="921"/>
      <c r="R27" s="942" t="e">
        <f t="shared" si="4"/>
        <v>#DIV/0!</v>
      </c>
      <c r="S27" s="942" t="e">
        <f>+G27/E27*100</f>
        <v>#DIV/0!</v>
      </c>
      <c r="T27" s="332"/>
      <c r="U27" s="326"/>
      <c r="V27" s="326"/>
      <c r="W27" s="326"/>
      <c r="X27" s="338"/>
      <c r="Y27" s="338"/>
      <c r="Z27" s="338"/>
      <c r="AA27" s="338"/>
      <c r="AB27" s="335"/>
      <c r="AC27" s="335"/>
      <c r="AD27" s="335"/>
      <c r="AE27" s="335"/>
      <c r="AF27" s="335"/>
      <c r="AG27" s="335"/>
      <c r="AH27" s="335"/>
      <c r="AI27" s="335"/>
      <c r="AJ27" s="335"/>
      <c r="AK27" s="335"/>
      <c r="AL27" s="335"/>
      <c r="AM27" s="335"/>
      <c r="AN27" s="335"/>
    </row>
    <row r="28" spans="1:40" s="336" customFormat="1" ht="15" customHeight="1" hidden="1">
      <c r="A28" s="944"/>
      <c r="B28" s="976" t="s">
        <v>569</v>
      </c>
      <c r="C28" s="916" t="s">
        <v>11</v>
      </c>
      <c r="D28" s="921"/>
      <c r="E28" s="921"/>
      <c r="F28" s="921"/>
      <c r="G28" s="921"/>
      <c r="H28" s="921"/>
      <c r="I28" s="921"/>
      <c r="J28" s="921"/>
      <c r="K28" s="921"/>
      <c r="L28" s="921"/>
      <c r="M28" s="921"/>
      <c r="N28" s="921"/>
      <c r="O28" s="921"/>
      <c r="P28" s="921"/>
      <c r="Q28" s="921"/>
      <c r="R28" s="942" t="e">
        <f t="shared" si="4"/>
        <v>#DIV/0!</v>
      </c>
      <c r="S28" s="942" t="e">
        <f>+G28/E28*100</f>
        <v>#DIV/0!</v>
      </c>
      <c r="T28" s="332"/>
      <c r="U28" s="326"/>
      <c r="V28" s="326"/>
      <c r="W28" s="326"/>
      <c r="X28" s="338"/>
      <c r="Y28" s="338"/>
      <c r="Z28" s="338"/>
      <c r="AA28" s="338"/>
      <c r="AB28" s="335"/>
      <c r="AC28" s="335"/>
      <c r="AD28" s="335"/>
      <c r="AE28" s="335"/>
      <c r="AF28" s="335"/>
      <c r="AG28" s="335"/>
      <c r="AH28" s="335"/>
      <c r="AI28" s="335"/>
      <c r="AJ28" s="335"/>
      <c r="AK28" s="335"/>
      <c r="AL28" s="335"/>
      <c r="AM28" s="335"/>
      <c r="AN28" s="335"/>
    </row>
    <row r="29" spans="1:40" s="336" customFormat="1" ht="24" customHeight="1" hidden="1">
      <c r="A29" s="944"/>
      <c r="B29" s="976" t="s">
        <v>570</v>
      </c>
      <c r="C29" s="916" t="s">
        <v>11</v>
      </c>
      <c r="D29" s="921"/>
      <c r="E29" s="921"/>
      <c r="F29" s="921"/>
      <c r="G29" s="921"/>
      <c r="H29" s="921"/>
      <c r="I29" s="921"/>
      <c r="J29" s="921"/>
      <c r="K29" s="921"/>
      <c r="L29" s="921"/>
      <c r="M29" s="921"/>
      <c r="N29" s="921"/>
      <c r="O29" s="921"/>
      <c r="P29" s="921"/>
      <c r="Q29" s="921"/>
      <c r="R29" s="942" t="e">
        <f t="shared" si="4"/>
        <v>#DIV/0!</v>
      </c>
      <c r="S29" s="942" t="e">
        <f>+G29/E29*100</f>
        <v>#DIV/0!</v>
      </c>
      <c r="T29" s="332"/>
      <c r="U29" s="326"/>
      <c r="V29" s="326"/>
      <c r="W29" s="326"/>
      <c r="X29" s="338"/>
      <c r="Y29" s="338"/>
      <c r="Z29" s="338"/>
      <c r="AA29" s="338"/>
      <c r="AB29" s="335"/>
      <c r="AC29" s="335"/>
      <c r="AD29" s="335"/>
      <c r="AE29" s="335"/>
      <c r="AF29" s="335"/>
      <c r="AG29" s="335"/>
      <c r="AH29" s="335"/>
      <c r="AI29" s="335"/>
      <c r="AJ29" s="335"/>
      <c r="AK29" s="335"/>
      <c r="AL29" s="335"/>
      <c r="AM29" s="335"/>
      <c r="AN29" s="335"/>
    </row>
    <row r="30" spans="1:40" s="334" customFormat="1" ht="14.25">
      <c r="A30" s="903" t="s">
        <v>101</v>
      </c>
      <c r="B30" s="977" t="s">
        <v>571</v>
      </c>
      <c r="C30" s="1083"/>
      <c r="D30" s="905"/>
      <c r="E30" s="905"/>
      <c r="F30" s="905"/>
      <c r="G30" s="921"/>
      <c r="H30" s="922"/>
      <c r="I30" s="922"/>
      <c r="J30" s="922"/>
      <c r="K30" s="922"/>
      <c r="L30" s="922"/>
      <c r="M30" s="922"/>
      <c r="N30" s="922"/>
      <c r="O30" s="922"/>
      <c r="P30" s="922"/>
      <c r="Q30" s="922"/>
      <c r="R30" s="942"/>
      <c r="S30" s="942"/>
      <c r="T30" s="332"/>
      <c r="U30" s="332"/>
      <c r="V30" s="978"/>
      <c r="W30" s="978"/>
      <c r="X30" s="337"/>
      <c r="Y30" s="337">
        <f>H24*0.925</f>
        <v>1997.075</v>
      </c>
      <c r="Z30" s="337">
        <f aca="true" t="shared" si="5" ref="Z30:AF30">I24*0.925</f>
        <v>743.7</v>
      </c>
      <c r="AA30" s="337">
        <f t="shared" si="5"/>
        <v>936.1</v>
      </c>
      <c r="AB30" s="333">
        <f t="shared" si="5"/>
        <v>440.3</v>
      </c>
      <c r="AC30" s="333">
        <f t="shared" si="5"/>
        <v>509.675</v>
      </c>
      <c r="AD30" s="333">
        <f t="shared" si="5"/>
        <v>5343.725</v>
      </c>
      <c r="AE30" s="333">
        <f t="shared" si="5"/>
        <v>592.9250000000001</v>
      </c>
      <c r="AF30" s="333">
        <f t="shared" si="5"/>
        <v>592.9250000000001</v>
      </c>
      <c r="AG30" s="333">
        <f>P24*0.925</f>
        <v>412.55</v>
      </c>
      <c r="AH30" s="333">
        <f>Q24*0.925</f>
        <v>234.025</v>
      </c>
      <c r="AI30" s="333">
        <f>R24*0.925</f>
        <v>108.20118512972219</v>
      </c>
      <c r="AJ30" s="333">
        <f>S24*0.925</f>
        <v>105.93218437495345</v>
      </c>
      <c r="AK30" s="333"/>
      <c r="AL30" s="333"/>
      <c r="AM30" s="333"/>
      <c r="AN30" s="333"/>
    </row>
    <row r="31" spans="1:40" s="334" customFormat="1" ht="14.25">
      <c r="A31" s="903">
        <v>1</v>
      </c>
      <c r="B31" s="904" t="s">
        <v>572</v>
      </c>
      <c r="C31" s="1083" t="s">
        <v>24</v>
      </c>
      <c r="D31" s="923">
        <v>39</v>
      </c>
      <c r="E31" s="924">
        <v>44</v>
      </c>
      <c r="F31" s="924">
        <v>44</v>
      </c>
      <c r="G31" s="924">
        <v>50</v>
      </c>
      <c r="H31" s="1083"/>
      <c r="I31" s="1083"/>
      <c r="J31" s="1083"/>
      <c r="K31" s="1083"/>
      <c r="L31" s="1083"/>
      <c r="M31" s="1083"/>
      <c r="N31" s="1083"/>
      <c r="O31" s="1083"/>
      <c r="P31" s="1083"/>
      <c r="Q31" s="1083"/>
      <c r="R31" s="942">
        <f>+F31/D31*100</f>
        <v>112.82051282051282</v>
      </c>
      <c r="S31" s="942">
        <f aca="true" t="shared" si="6" ref="S31:S44">+G31/F31*100</f>
        <v>113.63636363636364</v>
      </c>
      <c r="T31" s="332"/>
      <c r="U31" s="332"/>
      <c r="V31" s="332"/>
      <c r="W31" s="332"/>
      <c r="X31" s="979">
        <f>67/55</f>
        <v>1.2181818181818183</v>
      </c>
      <c r="Y31" s="337"/>
      <c r="Z31" s="337"/>
      <c r="AA31" s="337"/>
      <c r="AB31" s="333"/>
      <c r="AC31" s="333"/>
      <c r="AD31" s="333"/>
      <c r="AE31" s="333"/>
      <c r="AF31" s="333"/>
      <c r="AG31" s="333"/>
      <c r="AH31" s="333"/>
      <c r="AI31" s="333"/>
      <c r="AJ31" s="333"/>
      <c r="AK31" s="333"/>
      <c r="AL31" s="333"/>
      <c r="AM31" s="333"/>
      <c r="AN31" s="333"/>
    </row>
    <row r="32" spans="1:40" s="334" customFormat="1" ht="14.25">
      <c r="A32" s="944"/>
      <c r="B32" s="958" t="s">
        <v>573</v>
      </c>
      <c r="C32" s="916" t="s">
        <v>24</v>
      </c>
      <c r="D32" s="925">
        <v>17.46</v>
      </c>
      <c r="E32" s="926">
        <v>21.6</v>
      </c>
      <c r="F32" s="926">
        <v>21.6</v>
      </c>
      <c r="G32" s="926">
        <v>27</v>
      </c>
      <c r="H32" s="916"/>
      <c r="I32" s="916"/>
      <c r="J32" s="916"/>
      <c r="K32" s="916"/>
      <c r="L32" s="916"/>
      <c r="M32" s="916"/>
      <c r="N32" s="916"/>
      <c r="O32" s="916"/>
      <c r="P32" s="916"/>
      <c r="Q32" s="916"/>
      <c r="R32" s="942">
        <f>+F32/D32*100</f>
        <v>123.71134020618557</v>
      </c>
      <c r="S32" s="942">
        <f t="shared" si="6"/>
        <v>125</v>
      </c>
      <c r="T32" s="332"/>
      <c r="U32" s="332"/>
      <c r="V32" s="332"/>
      <c r="W32" s="332"/>
      <c r="X32" s="337">
        <f aca="true" t="shared" si="7" ref="X32:X44">+F32/E32</f>
        <v>1</v>
      </c>
      <c r="Y32" s="337"/>
      <c r="Z32" s="337"/>
      <c r="AA32" s="337"/>
      <c r="AB32" s="333"/>
      <c r="AC32" s="333"/>
      <c r="AD32" s="333"/>
      <c r="AE32" s="333"/>
      <c r="AF32" s="333"/>
      <c r="AG32" s="333"/>
      <c r="AH32" s="333"/>
      <c r="AI32" s="333"/>
      <c r="AJ32" s="333"/>
      <c r="AK32" s="333"/>
      <c r="AL32" s="333"/>
      <c r="AM32" s="333"/>
      <c r="AN32" s="333"/>
    </row>
    <row r="33" spans="1:40" s="334" customFormat="1" ht="14.25">
      <c r="A33" s="903">
        <v>2</v>
      </c>
      <c r="B33" s="904" t="s">
        <v>574</v>
      </c>
      <c r="C33" s="1083"/>
      <c r="D33" s="927"/>
      <c r="E33" s="921"/>
      <c r="F33" s="905"/>
      <c r="G33" s="921"/>
      <c r="H33" s="905"/>
      <c r="I33" s="905"/>
      <c r="J33" s="905"/>
      <c r="K33" s="905"/>
      <c r="L33" s="905"/>
      <c r="M33" s="905"/>
      <c r="N33" s="905"/>
      <c r="O33" s="905"/>
      <c r="P33" s="905"/>
      <c r="Q33" s="905"/>
      <c r="R33" s="942"/>
      <c r="S33" s="942"/>
      <c r="T33" s="332"/>
      <c r="U33" s="332"/>
      <c r="V33" s="332"/>
      <c r="W33" s="332"/>
      <c r="X33" s="337" t="e">
        <f t="shared" si="7"/>
        <v>#DIV/0!</v>
      </c>
      <c r="Y33" s="337"/>
      <c r="Z33" s="337"/>
      <c r="AA33" s="337"/>
      <c r="AB33" s="333"/>
      <c r="AC33" s="333"/>
      <c r="AD33" s="333"/>
      <c r="AE33" s="333"/>
      <c r="AF33" s="333"/>
      <c r="AG33" s="333"/>
      <c r="AH33" s="333"/>
      <c r="AI33" s="333"/>
      <c r="AJ33" s="333"/>
      <c r="AK33" s="333"/>
      <c r="AL33" s="333"/>
      <c r="AM33" s="333"/>
      <c r="AN33" s="333"/>
    </row>
    <row r="34" spans="1:40" s="336" customFormat="1" ht="15">
      <c r="A34" s="944"/>
      <c r="B34" s="958" t="s">
        <v>575</v>
      </c>
      <c r="C34" s="946" t="s">
        <v>503</v>
      </c>
      <c r="D34" s="928">
        <v>5.4</v>
      </c>
      <c r="E34" s="929">
        <v>12.7</v>
      </c>
      <c r="F34" s="929">
        <v>12.7</v>
      </c>
      <c r="G34" s="929">
        <v>13</v>
      </c>
      <c r="H34" s="916"/>
      <c r="I34" s="916"/>
      <c r="J34" s="916"/>
      <c r="K34" s="916"/>
      <c r="L34" s="916"/>
      <c r="M34" s="916"/>
      <c r="N34" s="916"/>
      <c r="O34" s="916"/>
      <c r="P34" s="916"/>
      <c r="Q34" s="916"/>
      <c r="R34" s="942">
        <f>+F34/D34*100</f>
        <v>235.18518518518516</v>
      </c>
      <c r="S34" s="942">
        <f t="shared" si="6"/>
        <v>102.36220472440945</v>
      </c>
      <c r="T34" s="332"/>
      <c r="U34" s="326"/>
      <c r="V34" s="326"/>
      <c r="W34" s="326"/>
      <c r="X34" s="337">
        <f t="shared" si="7"/>
        <v>1</v>
      </c>
      <c r="Y34" s="338"/>
      <c r="Z34" s="338"/>
      <c r="AA34" s="338"/>
      <c r="AB34" s="335"/>
      <c r="AC34" s="335"/>
      <c r="AD34" s="335"/>
      <c r="AE34" s="335"/>
      <c r="AF34" s="335"/>
      <c r="AG34" s="335"/>
      <c r="AH34" s="335"/>
      <c r="AI34" s="335"/>
      <c r="AJ34" s="335"/>
      <c r="AK34" s="335"/>
      <c r="AL34" s="335"/>
      <c r="AM34" s="335"/>
      <c r="AN34" s="335"/>
    </row>
    <row r="35" spans="1:40" s="336" customFormat="1" ht="15">
      <c r="A35" s="944"/>
      <c r="B35" s="974" t="s">
        <v>576</v>
      </c>
      <c r="C35" s="916" t="s">
        <v>60</v>
      </c>
      <c r="D35" s="925">
        <v>81.7</v>
      </c>
      <c r="E35" s="929">
        <v>140</v>
      </c>
      <c r="F35" s="929">
        <v>140</v>
      </c>
      <c r="G35" s="929">
        <v>150</v>
      </c>
      <c r="H35" s="916"/>
      <c r="I35" s="916"/>
      <c r="J35" s="916"/>
      <c r="K35" s="916"/>
      <c r="L35" s="916"/>
      <c r="M35" s="916"/>
      <c r="N35" s="916"/>
      <c r="O35" s="916"/>
      <c r="P35" s="916"/>
      <c r="Q35" s="916"/>
      <c r="R35" s="942">
        <f>+F35/D35*100</f>
        <v>171.35862913096696</v>
      </c>
      <c r="S35" s="942">
        <f t="shared" si="6"/>
        <v>107.14285714285714</v>
      </c>
      <c r="T35" s="332"/>
      <c r="U35" s="326"/>
      <c r="V35" s="326"/>
      <c r="W35" s="326"/>
      <c r="X35" s="337">
        <f t="shared" si="7"/>
        <v>1</v>
      </c>
      <c r="Y35" s="338"/>
      <c r="Z35" s="338"/>
      <c r="AA35" s="338"/>
      <c r="AB35" s="335"/>
      <c r="AC35" s="335"/>
      <c r="AD35" s="335"/>
      <c r="AE35" s="335"/>
      <c r="AF35" s="335"/>
      <c r="AG35" s="335"/>
      <c r="AH35" s="335"/>
      <c r="AI35" s="335"/>
      <c r="AJ35" s="335"/>
      <c r="AK35" s="335"/>
      <c r="AL35" s="335"/>
      <c r="AM35" s="335"/>
      <c r="AN35" s="335"/>
    </row>
    <row r="36" spans="1:40" s="336" customFormat="1" ht="15">
      <c r="A36" s="944"/>
      <c r="B36" s="958" t="s">
        <v>577</v>
      </c>
      <c r="C36" s="946" t="s">
        <v>503</v>
      </c>
      <c r="D36" s="925">
        <v>12.36</v>
      </c>
      <c r="E36" s="929">
        <v>13.3</v>
      </c>
      <c r="F36" s="929">
        <v>13.3</v>
      </c>
      <c r="G36" s="929">
        <v>16</v>
      </c>
      <c r="H36" s="916"/>
      <c r="I36" s="916"/>
      <c r="J36" s="916"/>
      <c r="K36" s="916"/>
      <c r="L36" s="916"/>
      <c r="M36" s="916"/>
      <c r="N36" s="916"/>
      <c r="O36" s="916"/>
      <c r="P36" s="916"/>
      <c r="Q36" s="916"/>
      <c r="R36" s="942">
        <f>+F36/D36*100</f>
        <v>107.60517799352752</v>
      </c>
      <c r="S36" s="942">
        <f t="shared" si="6"/>
        <v>120.30075187969925</v>
      </c>
      <c r="T36" s="332"/>
      <c r="U36" s="326"/>
      <c r="V36" s="326"/>
      <c r="W36" s="326"/>
      <c r="X36" s="337">
        <f t="shared" si="7"/>
        <v>1</v>
      </c>
      <c r="Y36" s="338"/>
      <c r="Z36" s="338"/>
      <c r="AA36" s="338"/>
      <c r="AB36" s="335"/>
      <c r="AC36" s="335"/>
      <c r="AD36" s="335"/>
      <c r="AE36" s="335"/>
      <c r="AF36" s="335"/>
      <c r="AG36" s="335"/>
      <c r="AH36" s="335"/>
      <c r="AI36" s="335"/>
      <c r="AJ36" s="335"/>
      <c r="AK36" s="335"/>
      <c r="AL36" s="335"/>
      <c r="AM36" s="335"/>
      <c r="AN36" s="335"/>
    </row>
    <row r="37" spans="1:40" s="336" customFormat="1" ht="15">
      <c r="A37" s="944"/>
      <c r="B37" s="958" t="s">
        <v>578</v>
      </c>
      <c r="C37" s="946" t="s">
        <v>503</v>
      </c>
      <c r="D37" s="925">
        <v>13.32</v>
      </c>
      <c r="E37" s="929">
        <v>9.6</v>
      </c>
      <c r="F37" s="929">
        <v>9.6</v>
      </c>
      <c r="G37" s="929">
        <v>10</v>
      </c>
      <c r="H37" s="916"/>
      <c r="I37" s="916"/>
      <c r="J37" s="916"/>
      <c r="K37" s="916"/>
      <c r="L37" s="916"/>
      <c r="M37" s="916"/>
      <c r="N37" s="916"/>
      <c r="O37" s="916"/>
      <c r="P37" s="916"/>
      <c r="Q37" s="916"/>
      <c r="R37" s="942">
        <f>+F37/D37*100</f>
        <v>72.07207207207207</v>
      </c>
      <c r="S37" s="942">
        <f t="shared" si="6"/>
        <v>104.16666666666667</v>
      </c>
      <c r="T37" s="332"/>
      <c r="U37" s="326"/>
      <c r="V37" s="326"/>
      <c r="W37" s="326"/>
      <c r="X37" s="337">
        <f t="shared" si="7"/>
        <v>1</v>
      </c>
      <c r="Y37" s="338"/>
      <c r="Z37" s="338"/>
      <c r="AA37" s="338"/>
      <c r="AB37" s="335"/>
      <c r="AC37" s="335"/>
      <c r="AD37" s="335"/>
      <c r="AE37" s="335"/>
      <c r="AF37" s="335"/>
      <c r="AG37" s="335"/>
      <c r="AH37" s="335"/>
      <c r="AI37" s="335"/>
      <c r="AJ37" s="335"/>
      <c r="AK37" s="335"/>
      <c r="AL37" s="335"/>
      <c r="AM37" s="335"/>
      <c r="AN37" s="335"/>
    </row>
    <row r="38" spans="1:40" s="334" customFormat="1" ht="14.25">
      <c r="A38" s="903" t="s">
        <v>104</v>
      </c>
      <c r="B38" s="977" t="s">
        <v>579</v>
      </c>
      <c r="C38" s="1083" t="s">
        <v>24</v>
      </c>
      <c r="D38" s="923"/>
      <c r="E38" s="930"/>
      <c r="F38" s="930"/>
      <c r="G38" s="930"/>
      <c r="H38" s="1084"/>
      <c r="I38" s="1084"/>
      <c r="J38" s="1084"/>
      <c r="K38" s="1084"/>
      <c r="L38" s="1084"/>
      <c r="M38" s="1084"/>
      <c r="N38" s="1084"/>
      <c r="O38" s="1084"/>
      <c r="P38" s="1084"/>
      <c r="Q38" s="1084"/>
      <c r="R38" s="942"/>
      <c r="S38" s="942"/>
      <c r="T38" s="332"/>
      <c r="U38" s="332"/>
      <c r="V38" s="332"/>
      <c r="W38" s="332"/>
      <c r="X38" s="337" t="e">
        <f t="shared" si="7"/>
        <v>#DIV/0!</v>
      </c>
      <c r="Y38" s="337"/>
      <c r="Z38" s="337"/>
      <c r="AA38" s="337"/>
      <c r="AB38" s="333"/>
      <c r="AC38" s="333"/>
      <c r="AD38" s="333"/>
      <c r="AE38" s="333"/>
      <c r="AF38" s="333"/>
      <c r="AG38" s="333"/>
      <c r="AH38" s="333"/>
      <c r="AI38" s="333"/>
      <c r="AJ38" s="333"/>
      <c r="AK38" s="333"/>
      <c r="AL38" s="333"/>
      <c r="AM38" s="333"/>
      <c r="AN38" s="333"/>
    </row>
    <row r="39" spans="1:40" s="334" customFormat="1" ht="14.25">
      <c r="A39" s="903">
        <v>1</v>
      </c>
      <c r="B39" s="904" t="s">
        <v>580</v>
      </c>
      <c r="C39" s="916" t="s">
        <v>24</v>
      </c>
      <c r="D39" s="923">
        <v>16</v>
      </c>
      <c r="E39" s="930">
        <v>23</v>
      </c>
      <c r="F39" s="930">
        <v>23</v>
      </c>
      <c r="G39" s="930">
        <v>33</v>
      </c>
      <c r="H39" s="1083"/>
      <c r="I39" s="1083"/>
      <c r="J39" s="1083"/>
      <c r="K39" s="1083"/>
      <c r="L39" s="1083"/>
      <c r="M39" s="1083"/>
      <c r="N39" s="1083"/>
      <c r="O39" s="1083"/>
      <c r="P39" s="1083"/>
      <c r="Q39" s="1083"/>
      <c r="R39" s="942">
        <f>+F39/D39*100</f>
        <v>143.75</v>
      </c>
      <c r="S39" s="942">
        <f t="shared" si="6"/>
        <v>143.47826086956522</v>
      </c>
      <c r="T39" s="332"/>
      <c r="U39" s="332"/>
      <c r="V39" s="332"/>
      <c r="W39" s="332"/>
      <c r="X39" s="337">
        <f t="shared" si="7"/>
        <v>1</v>
      </c>
      <c r="Y39" s="980">
        <f>100-R39</f>
        <v>-43.75</v>
      </c>
      <c r="Z39" s="337"/>
      <c r="AA39" s="337"/>
      <c r="AB39" s="333"/>
      <c r="AC39" s="333"/>
      <c r="AD39" s="333"/>
      <c r="AE39" s="333"/>
      <c r="AF39" s="333"/>
      <c r="AG39" s="333"/>
      <c r="AH39" s="333"/>
      <c r="AI39" s="333"/>
      <c r="AJ39" s="333"/>
      <c r="AK39" s="333"/>
      <c r="AL39" s="333"/>
      <c r="AM39" s="333"/>
      <c r="AN39" s="333"/>
    </row>
    <row r="40" spans="1:40" s="334" customFormat="1" ht="14.25">
      <c r="A40" s="944"/>
      <c r="B40" s="958" t="s">
        <v>573</v>
      </c>
      <c r="C40" s="916" t="s">
        <v>24</v>
      </c>
      <c r="D40" s="923">
        <v>10.33</v>
      </c>
      <c r="E40" s="930">
        <v>10</v>
      </c>
      <c r="F40" s="930">
        <v>10</v>
      </c>
      <c r="G40" s="930">
        <v>15</v>
      </c>
      <c r="H40" s="931"/>
      <c r="I40" s="916"/>
      <c r="J40" s="916"/>
      <c r="K40" s="916"/>
      <c r="L40" s="916"/>
      <c r="M40" s="916"/>
      <c r="N40" s="916"/>
      <c r="O40" s="916"/>
      <c r="P40" s="916"/>
      <c r="Q40" s="916"/>
      <c r="R40" s="942">
        <f>+F40/D40*100</f>
        <v>96.8054211035818</v>
      </c>
      <c r="S40" s="942">
        <f t="shared" si="6"/>
        <v>150</v>
      </c>
      <c r="T40" s="332"/>
      <c r="U40" s="332"/>
      <c r="V40" s="332"/>
      <c r="W40" s="332"/>
      <c r="X40" s="337">
        <f t="shared" si="7"/>
        <v>1</v>
      </c>
      <c r="Y40" s="337"/>
      <c r="Z40" s="337"/>
      <c r="AA40" s="337"/>
      <c r="AB40" s="333"/>
      <c r="AC40" s="333"/>
      <c r="AD40" s="333"/>
      <c r="AE40" s="333"/>
      <c r="AF40" s="333"/>
      <c r="AG40" s="333"/>
      <c r="AH40" s="333"/>
      <c r="AI40" s="333"/>
      <c r="AJ40" s="333"/>
      <c r="AK40" s="333"/>
      <c r="AL40" s="333"/>
      <c r="AM40" s="333"/>
      <c r="AN40" s="333"/>
    </row>
    <row r="41" spans="1:40" s="334" customFormat="1" ht="24.75" customHeight="1">
      <c r="A41" s="937">
        <v>2</v>
      </c>
      <c r="B41" s="904" t="s">
        <v>581</v>
      </c>
      <c r="C41" s="1083"/>
      <c r="D41" s="905"/>
      <c r="E41" s="921"/>
      <c r="F41" s="1084"/>
      <c r="G41" s="921"/>
      <c r="H41" s="1084"/>
      <c r="I41" s="1084"/>
      <c r="J41" s="1084"/>
      <c r="K41" s="1084"/>
      <c r="L41" s="1084"/>
      <c r="M41" s="1084"/>
      <c r="N41" s="1084"/>
      <c r="O41" s="1084"/>
      <c r="P41" s="1084"/>
      <c r="Q41" s="1084"/>
      <c r="R41" s="942"/>
      <c r="S41" s="942"/>
      <c r="T41" s="332"/>
      <c r="U41" s="332"/>
      <c r="V41" s="332"/>
      <c r="W41" s="332"/>
      <c r="X41" s="337" t="e">
        <f t="shared" si="7"/>
        <v>#DIV/0!</v>
      </c>
      <c r="Y41" s="337"/>
      <c r="Z41" s="337"/>
      <c r="AA41" s="337"/>
      <c r="AB41" s="333"/>
      <c r="AC41" s="333"/>
      <c r="AD41" s="333"/>
      <c r="AE41" s="333"/>
      <c r="AF41" s="333"/>
      <c r="AG41" s="333"/>
      <c r="AH41" s="333"/>
      <c r="AI41" s="333"/>
      <c r="AJ41" s="333"/>
      <c r="AK41" s="333"/>
      <c r="AL41" s="333"/>
      <c r="AM41" s="333"/>
      <c r="AN41" s="333"/>
    </row>
    <row r="42" spans="1:40" s="336" customFormat="1" ht="15">
      <c r="A42" s="944"/>
      <c r="B42" s="958" t="s">
        <v>582</v>
      </c>
      <c r="C42" s="1084" t="s">
        <v>503</v>
      </c>
      <c r="D42" s="925">
        <v>3</v>
      </c>
      <c r="E42" s="929">
        <v>5</v>
      </c>
      <c r="F42" s="929">
        <v>5</v>
      </c>
      <c r="G42" s="932">
        <v>5</v>
      </c>
      <c r="H42" s="916"/>
      <c r="I42" s="916"/>
      <c r="J42" s="916"/>
      <c r="K42" s="916"/>
      <c r="L42" s="916"/>
      <c r="M42" s="916"/>
      <c r="N42" s="916"/>
      <c r="O42" s="916"/>
      <c r="P42" s="916"/>
      <c r="Q42" s="916"/>
      <c r="R42" s="942">
        <f>+F42/D42*100</f>
        <v>166.66666666666669</v>
      </c>
      <c r="S42" s="942">
        <f t="shared" si="6"/>
        <v>100</v>
      </c>
      <c r="T42" s="339"/>
      <c r="U42" s="326"/>
      <c r="V42" s="326"/>
      <c r="W42" s="326"/>
      <c r="X42" s="337">
        <f t="shared" si="7"/>
        <v>1</v>
      </c>
      <c r="Y42" s="338"/>
      <c r="Z42" s="338"/>
      <c r="AA42" s="338"/>
      <c r="AB42" s="335"/>
      <c r="AC42" s="335"/>
      <c r="AD42" s="335"/>
      <c r="AE42" s="335"/>
      <c r="AF42" s="335"/>
      <c r="AG42" s="335"/>
      <c r="AH42" s="335"/>
      <c r="AI42" s="335"/>
      <c r="AJ42" s="335"/>
      <c r="AK42" s="335"/>
      <c r="AL42" s="335"/>
      <c r="AM42" s="335"/>
      <c r="AN42" s="335"/>
    </row>
    <row r="43" spans="1:40" s="336" customFormat="1" ht="15">
      <c r="A43" s="944"/>
      <c r="B43" s="958" t="s">
        <v>583</v>
      </c>
      <c r="C43" s="1084" t="s">
        <v>503</v>
      </c>
      <c r="D43" s="925">
        <v>5.7</v>
      </c>
      <c r="E43" s="929">
        <v>8</v>
      </c>
      <c r="F43" s="929">
        <v>8</v>
      </c>
      <c r="G43" s="929">
        <v>11</v>
      </c>
      <c r="H43" s="916"/>
      <c r="I43" s="916"/>
      <c r="J43" s="916"/>
      <c r="K43" s="916"/>
      <c r="L43" s="916"/>
      <c r="M43" s="916"/>
      <c r="N43" s="916"/>
      <c r="O43" s="916"/>
      <c r="P43" s="916"/>
      <c r="Q43" s="916"/>
      <c r="R43" s="942">
        <f>+F43/D43*100</f>
        <v>140.35087719298244</v>
      </c>
      <c r="S43" s="942">
        <f t="shared" si="6"/>
        <v>137.5</v>
      </c>
      <c r="T43" s="339"/>
      <c r="U43" s="326"/>
      <c r="V43" s="326"/>
      <c r="W43" s="326"/>
      <c r="X43" s="337">
        <f t="shared" si="7"/>
        <v>1</v>
      </c>
      <c r="Y43" s="338"/>
      <c r="Z43" s="338"/>
      <c r="AA43" s="338"/>
      <c r="AB43" s="335"/>
      <c r="AC43" s="335"/>
      <c r="AD43" s="335"/>
      <c r="AE43" s="335"/>
      <c r="AF43" s="335"/>
      <c r="AG43" s="335"/>
      <c r="AH43" s="335"/>
      <c r="AI43" s="335"/>
      <c r="AJ43" s="335"/>
      <c r="AK43" s="335"/>
      <c r="AL43" s="335"/>
      <c r="AM43" s="335"/>
      <c r="AN43" s="335"/>
    </row>
    <row r="44" spans="1:40" s="336" customFormat="1" ht="15">
      <c r="A44" s="944"/>
      <c r="B44" s="958" t="s">
        <v>584</v>
      </c>
      <c r="C44" s="1084" t="s">
        <v>503</v>
      </c>
      <c r="D44" s="925">
        <v>7.3</v>
      </c>
      <c r="E44" s="929">
        <v>9</v>
      </c>
      <c r="F44" s="932">
        <v>9</v>
      </c>
      <c r="G44" s="929">
        <v>17</v>
      </c>
      <c r="H44" s="916"/>
      <c r="I44" s="916"/>
      <c r="J44" s="916"/>
      <c r="K44" s="916"/>
      <c r="L44" s="916"/>
      <c r="M44" s="916"/>
      <c r="N44" s="916"/>
      <c r="O44" s="916"/>
      <c r="P44" s="916"/>
      <c r="Q44" s="916"/>
      <c r="R44" s="942">
        <f>+F44/D44*100</f>
        <v>123.28767123287672</v>
      </c>
      <c r="S44" s="942">
        <f t="shared" si="6"/>
        <v>188.88888888888889</v>
      </c>
      <c r="T44" s="339"/>
      <c r="U44" s="326"/>
      <c r="V44" s="326"/>
      <c r="W44" s="326"/>
      <c r="X44" s="337">
        <f t="shared" si="7"/>
        <v>1</v>
      </c>
      <c r="Y44" s="338"/>
      <c r="Z44" s="338"/>
      <c r="AA44" s="338"/>
      <c r="AB44" s="335"/>
      <c r="AC44" s="335"/>
      <c r="AD44" s="335"/>
      <c r="AE44" s="335"/>
      <c r="AF44" s="335"/>
      <c r="AG44" s="335"/>
      <c r="AH44" s="335"/>
      <c r="AI44" s="335"/>
      <c r="AJ44" s="335"/>
      <c r="AK44" s="335"/>
      <c r="AL44" s="335"/>
      <c r="AM44" s="335"/>
      <c r="AN44" s="335"/>
    </row>
    <row r="45" spans="1:40" s="334" customFormat="1" ht="15">
      <c r="A45" s="903" t="s">
        <v>585</v>
      </c>
      <c r="B45" s="904" t="s">
        <v>511</v>
      </c>
      <c r="C45" s="905"/>
      <c r="D45" s="905"/>
      <c r="E45" s="905"/>
      <c r="F45" s="905"/>
      <c r="G45" s="905"/>
      <c r="H45" s="905"/>
      <c r="I45" s="905"/>
      <c r="J45" s="905"/>
      <c r="K45" s="905"/>
      <c r="L45" s="905"/>
      <c r="M45" s="905"/>
      <c r="N45" s="905"/>
      <c r="O45" s="905"/>
      <c r="P45" s="905"/>
      <c r="Q45" s="905"/>
      <c r="R45" s="942"/>
      <c r="S45" s="942"/>
      <c r="T45" s="339"/>
      <c r="U45" s="332"/>
      <c r="V45" s="332"/>
      <c r="W45" s="332"/>
      <c r="X45" s="337"/>
      <c r="Y45" s="337"/>
      <c r="Z45" s="337"/>
      <c r="AA45" s="337"/>
      <c r="AB45" s="333"/>
      <c r="AC45" s="333"/>
      <c r="AD45" s="333"/>
      <c r="AE45" s="333"/>
      <c r="AF45" s="333"/>
      <c r="AG45" s="333"/>
      <c r="AH45" s="333"/>
      <c r="AI45" s="333"/>
      <c r="AJ45" s="333"/>
      <c r="AK45" s="333"/>
      <c r="AL45" s="333"/>
      <c r="AM45" s="333"/>
      <c r="AN45" s="333"/>
    </row>
    <row r="46" spans="1:40" s="336" customFormat="1" ht="15">
      <c r="A46" s="903">
        <v>1</v>
      </c>
      <c r="B46" s="904" t="s">
        <v>512</v>
      </c>
      <c r="C46" s="921"/>
      <c r="D46" s="921"/>
      <c r="E46" s="921"/>
      <c r="F46" s="921"/>
      <c r="G46" s="921"/>
      <c r="H46" s="921"/>
      <c r="I46" s="921"/>
      <c r="J46" s="921"/>
      <c r="K46" s="921"/>
      <c r="L46" s="921"/>
      <c r="M46" s="921"/>
      <c r="N46" s="921"/>
      <c r="O46" s="921"/>
      <c r="P46" s="921"/>
      <c r="Q46" s="921"/>
      <c r="R46" s="942"/>
      <c r="S46" s="942"/>
      <c r="T46" s="326"/>
      <c r="U46" s="340"/>
      <c r="V46" s="326"/>
      <c r="W46" s="326"/>
      <c r="X46" s="338"/>
      <c r="Y46" s="338"/>
      <c r="Z46" s="338"/>
      <c r="AA46" s="338"/>
      <c r="AB46" s="335"/>
      <c r="AC46" s="335"/>
      <c r="AD46" s="335"/>
      <c r="AE46" s="335"/>
      <c r="AF46" s="335"/>
      <c r="AG46" s="335"/>
      <c r="AH46" s="335"/>
      <c r="AI46" s="335"/>
      <c r="AJ46" s="335"/>
      <c r="AK46" s="335"/>
      <c r="AL46" s="335"/>
      <c r="AM46" s="335"/>
      <c r="AN46" s="335"/>
    </row>
    <row r="47" spans="1:40" s="336" customFormat="1" ht="15">
      <c r="A47" s="944"/>
      <c r="B47" s="958" t="s">
        <v>513</v>
      </c>
      <c r="C47" s="916" t="s">
        <v>514</v>
      </c>
      <c r="D47" s="921">
        <v>1227.1600000000003</v>
      </c>
      <c r="E47" s="921">
        <v>1500</v>
      </c>
      <c r="F47" s="952">
        <v>1501.875537</v>
      </c>
      <c r="G47" s="1180">
        <v>1800</v>
      </c>
      <c r="H47" s="1181">
        <v>87.50000000000001</v>
      </c>
      <c r="I47" s="1181">
        <v>60</v>
      </c>
      <c r="J47" s="1181">
        <v>70</v>
      </c>
      <c r="K47" s="1181">
        <v>80</v>
      </c>
      <c r="L47" s="1181">
        <v>97.5</v>
      </c>
      <c r="M47" s="1181">
        <v>1100</v>
      </c>
      <c r="N47" s="1181">
        <v>70</v>
      </c>
      <c r="O47" s="1181">
        <v>75</v>
      </c>
      <c r="P47" s="1181">
        <v>100</v>
      </c>
      <c r="Q47" s="1181">
        <v>60</v>
      </c>
      <c r="R47" s="942">
        <f>+F47/D47*100</f>
        <v>122.38628516248895</v>
      </c>
      <c r="S47" s="942">
        <f>+G47/F47*100</f>
        <v>119.85014441313189</v>
      </c>
      <c r="T47" s="326"/>
      <c r="U47" s="981"/>
      <c r="V47" s="326"/>
      <c r="W47" s="326"/>
      <c r="X47" s="1320" t="s">
        <v>1189</v>
      </c>
      <c r="Y47" s="338"/>
      <c r="Z47" s="338"/>
      <c r="AA47" s="338"/>
      <c r="AB47" s="335"/>
      <c r="AC47" s="335"/>
      <c r="AD47" s="335"/>
      <c r="AE47" s="335"/>
      <c r="AF47" s="335"/>
      <c r="AG47" s="335"/>
      <c r="AH47" s="335"/>
      <c r="AI47" s="335"/>
      <c r="AJ47" s="335"/>
      <c r="AK47" s="335"/>
      <c r="AL47" s="335"/>
      <c r="AM47" s="335"/>
      <c r="AN47" s="335"/>
    </row>
    <row r="48" spans="1:40" s="336" customFormat="1" ht="15">
      <c r="A48" s="944"/>
      <c r="B48" s="958" t="s">
        <v>515</v>
      </c>
      <c r="C48" s="946" t="s">
        <v>516</v>
      </c>
      <c r="D48" s="921">
        <v>250571.28999999998</v>
      </c>
      <c r="E48" s="921">
        <v>290000</v>
      </c>
      <c r="F48" s="952">
        <v>290737.973795</v>
      </c>
      <c r="G48" s="1180">
        <v>330000</v>
      </c>
      <c r="H48" s="1182">
        <v>16000</v>
      </c>
      <c r="I48" s="1182">
        <v>12000</v>
      </c>
      <c r="J48" s="1182">
        <v>15000</v>
      </c>
      <c r="K48" s="1182">
        <v>12000</v>
      </c>
      <c r="L48" s="1182">
        <v>10000</v>
      </c>
      <c r="M48" s="1182">
        <v>219000</v>
      </c>
      <c r="N48" s="1182">
        <v>12000</v>
      </c>
      <c r="O48" s="1182">
        <v>11000</v>
      </c>
      <c r="P48" s="1182">
        <v>12000</v>
      </c>
      <c r="Q48" s="1182">
        <v>11000</v>
      </c>
      <c r="R48" s="942">
        <f>+F48/D48*100</f>
        <v>116.03004230652283</v>
      </c>
      <c r="S48" s="942">
        <f>+G48/F48*100</f>
        <v>113.50426492023493</v>
      </c>
      <c r="T48" s="339"/>
      <c r="U48" s="326"/>
      <c r="V48" s="326"/>
      <c r="W48" s="326"/>
      <c r="X48" s="1320"/>
      <c r="Y48" s="338"/>
      <c r="Z48" s="338"/>
      <c r="AA48" s="338"/>
      <c r="AB48" s="335"/>
      <c r="AC48" s="335"/>
      <c r="AD48" s="335"/>
      <c r="AE48" s="335"/>
      <c r="AF48" s="335"/>
      <c r="AG48" s="335"/>
      <c r="AH48" s="335"/>
      <c r="AI48" s="335"/>
      <c r="AJ48" s="335"/>
      <c r="AK48" s="335"/>
      <c r="AL48" s="335"/>
      <c r="AM48" s="335"/>
      <c r="AN48" s="335"/>
    </row>
    <row r="49" spans="1:40" s="336" customFormat="1" ht="15">
      <c r="A49" s="903">
        <v>2</v>
      </c>
      <c r="B49" s="904" t="s">
        <v>517</v>
      </c>
      <c r="C49" s="916"/>
      <c r="D49" s="921"/>
      <c r="E49" s="921"/>
      <c r="F49" s="952"/>
      <c r="G49" s="1180"/>
      <c r="H49" s="1181"/>
      <c r="I49" s="1181"/>
      <c r="J49" s="1181"/>
      <c r="K49" s="1181"/>
      <c r="L49" s="1181"/>
      <c r="M49" s="1181"/>
      <c r="N49" s="1181"/>
      <c r="O49" s="1181"/>
      <c r="P49" s="1181"/>
      <c r="Q49" s="1181"/>
      <c r="R49" s="942"/>
      <c r="S49" s="942"/>
      <c r="T49" s="326"/>
      <c r="U49" s="981"/>
      <c r="V49" s="326"/>
      <c r="W49" s="326"/>
      <c r="X49" s="1320"/>
      <c r="Y49" s="338"/>
      <c r="Z49" s="338"/>
      <c r="AA49" s="338"/>
      <c r="AB49" s="335"/>
      <c r="AC49" s="335"/>
      <c r="AD49" s="335"/>
      <c r="AE49" s="335"/>
      <c r="AF49" s="335"/>
      <c r="AG49" s="335"/>
      <c r="AH49" s="335"/>
      <c r="AI49" s="335"/>
      <c r="AJ49" s="335"/>
      <c r="AK49" s="335"/>
      <c r="AL49" s="335"/>
      <c r="AM49" s="335"/>
      <c r="AN49" s="335"/>
    </row>
    <row r="50" spans="1:40" s="336" customFormat="1" ht="15">
      <c r="A50" s="944"/>
      <c r="B50" s="958" t="s">
        <v>518</v>
      </c>
      <c r="C50" s="916" t="s">
        <v>519</v>
      </c>
      <c r="D50" s="921">
        <v>3266.71</v>
      </c>
      <c r="E50" s="921">
        <v>3650</v>
      </c>
      <c r="F50" s="952">
        <v>3656.388333</v>
      </c>
      <c r="G50" s="1180">
        <v>3750</v>
      </c>
      <c r="H50" s="1181">
        <v>131.25</v>
      </c>
      <c r="I50" s="1181">
        <v>150</v>
      </c>
      <c r="J50" s="1181">
        <v>225</v>
      </c>
      <c r="K50" s="1181">
        <v>153.75</v>
      </c>
      <c r="L50" s="1181">
        <v>146.25</v>
      </c>
      <c r="M50" s="1181">
        <v>2437.5</v>
      </c>
      <c r="N50" s="1181">
        <v>93.75</v>
      </c>
      <c r="O50" s="1181">
        <v>112.5</v>
      </c>
      <c r="P50" s="1181">
        <v>150</v>
      </c>
      <c r="Q50" s="1181">
        <v>150</v>
      </c>
      <c r="R50" s="942">
        <f>+F50/D50*100</f>
        <v>111.92877032243449</v>
      </c>
      <c r="S50" s="942">
        <f>+G50/F50*100</f>
        <v>102.56022223228113</v>
      </c>
      <c r="T50" s="326"/>
      <c r="U50" s="981"/>
      <c r="V50" s="326"/>
      <c r="W50" s="326"/>
      <c r="X50" s="1320"/>
      <c r="Y50" s="338"/>
      <c r="Z50" s="338"/>
      <c r="AA50" s="338"/>
      <c r="AB50" s="335"/>
      <c r="AC50" s="335"/>
      <c r="AD50" s="335"/>
      <c r="AE50" s="335"/>
      <c r="AF50" s="335"/>
      <c r="AG50" s="335"/>
      <c r="AH50" s="335"/>
      <c r="AI50" s="335"/>
      <c r="AJ50" s="335"/>
      <c r="AK50" s="335"/>
      <c r="AL50" s="335"/>
      <c r="AM50" s="335"/>
      <c r="AN50" s="335"/>
    </row>
    <row r="51" spans="1:40" s="336" customFormat="1" ht="25.5">
      <c r="A51" s="944"/>
      <c r="B51" s="958" t="s">
        <v>520</v>
      </c>
      <c r="C51" s="916" t="s">
        <v>521</v>
      </c>
      <c r="D51" s="921">
        <v>136455.12</v>
      </c>
      <c r="E51" s="921">
        <v>160000</v>
      </c>
      <c r="F51" s="952">
        <v>160491.67034399998</v>
      </c>
      <c r="G51" s="1180">
        <v>170000</v>
      </c>
      <c r="H51" s="1181">
        <v>5775.000000000001</v>
      </c>
      <c r="I51" s="1181">
        <v>6600</v>
      </c>
      <c r="J51" s="1181">
        <v>9900</v>
      </c>
      <c r="K51" s="1181">
        <v>6765</v>
      </c>
      <c r="L51" s="1181">
        <v>6435</v>
      </c>
      <c r="M51" s="1181">
        <v>112250</v>
      </c>
      <c r="N51" s="1181">
        <v>4125</v>
      </c>
      <c r="O51" s="1181">
        <v>4950</v>
      </c>
      <c r="P51" s="1181">
        <v>6600</v>
      </c>
      <c r="Q51" s="1181">
        <v>6600</v>
      </c>
      <c r="R51" s="942">
        <f>+F51/D51*100</f>
        <v>117.61498604376295</v>
      </c>
      <c r="S51" s="942">
        <f>+G51/F51*100</f>
        <v>105.92450040280579</v>
      </c>
      <c r="T51" s="326"/>
      <c r="U51" s="981"/>
      <c r="V51" s="326"/>
      <c r="W51" s="326"/>
      <c r="X51" s="1320"/>
      <c r="Y51" s="338"/>
      <c r="Z51" s="338"/>
      <c r="AA51" s="338"/>
      <c r="AB51" s="335"/>
      <c r="AC51" s="335"/>
      <c r="AD51" s="335"/>
      <c r="AE51" s="335"/>
      <c r="AF51" s="335"/>
      <c r="AG51" s="335"/>
      <c r="AH51" s="335"/>
      <c r="AI51" s="335"/>
      <c r="AJ51" s="335"/>
      <c r="AK51" s="335"/>
      <c r="AL51" s="335"/>
      <c r="AM51" s="335"/>
      <c r="AN51" s="335"/>
    </row>
    <row r="52" spans="1:47" s="336" customFormat="1" ht="15">
      <c r="A52" s="341"/>
      <c r="T52" s="326"/>
      <c r="U52" s="326"/>
      <c r="V52" s="326"/>
      <c r="W52" s="326"/>
      <c r="X52" s="338"/>
      <c r="Y52" s="338"/>
      <c r="Z52" s="338"/>
      <c r="AA52" s="338"/>
      <c r="AB52" s="335"/>
      <c r="AC52" s="335"/>
      <c r="AD52" s="335"/>
      <c r="AE52" s="335"/>
      <c r="AF52" s="335"/>
      <c r="AG52" s="335"/>
      <c r="AH52" s="335"/>
      <c r="AI52" s="335"/>
      <c r="AJ52" s="335"/>
      <c r="AK52" s="335"/>
      <c r="AL52" s="335"/>
      <c r="AM52" s="335"/>
      <c r="AN52" s="335"/>
      <c r="AO52" s="335"/>
      <c r="AP52" s="335"/>
      <c r="AQ52" s="335"/>
      <c r="AR52" s="335"/>
      <c r="AS52" s="335"/>
      <c r="AT52" s="335"/>
      <c r="AU52" s="335"/>
    </row>
    <row r="53" spans="1:47" s="336" customFormat="1" ht="15">
      <c r="A53" s="341"/>
      <c r="T53" s="326"/>
      <c r="U53" s="326"/>
      <c r="V53" s="326"/>
      <c r="W53" s="326"/>
      <c r="X53" s="338"/>
      <c r="Y53" s="338"/>
      <c r="Z53" s="338"/>
      <c r="AA53" s="338"/>
      <c r="AB53" s="335"/>
      <c r="AC53" s="335"/>
      <c r="AD53" s="335"/>
      <c r="AE53" s="335"/>
      <c r="AF53" s="335"/>
      <c r="AG53" s="335"/>
      <c r="AH53" s="335"/>
      <c r="AI53" s="335"/>
      <c r="AJ53" s="335"/>
      <c r="AK53" s="335"/>
      <c r="AL53" s="335"/>
      <c r="AM53" s="335"/>
      <c r="AN53" s="335"/>
      <c r="AO53" s="335"/>
      <c r="AP53" s="335"/>
      <c r="AQ53" s="335"/>
      <c r="AR53" s="335"/>
      <c r="AS53" s="335"/>
      <c r="AT53" s="335"/>
      <c r="AU53" s="335"/>
    </row>
  </sheetData>
  <sheetProtection/>
  <mergeCells count="15">
    <mergeCell ref="R4:S4"/>
    <mergeCell ref="E5:E6"/>
    <mergeCell ref="F5:F6"/>
    <mergeCell ref="G5:G6"/>
    <mergeCell ref="H5:Q5"/>
    <mergeCell ref="X47:X51"/>
    <mergeCell ref="A1:S1"/>
    <mergeCell ref="A2:S2"/>
    <mergeCell ref="A3:S3"/>
    <mergeCell ref="A4:A6"/>
    <mergeCell ref="B4:B6"/>
    <mergeCell ref="C4:C6"/>
    <mergeCell ref="D4:D6"/>
    <mergeCell ref="E4:F4"/>
    <mergeCell ref="G4:Q4"/>
  </mergeCells>
  <printOptions horizontalCentered="1"/>
  <pageMargins left="0" right="0" top="0.236220472440945" bottom="0.31496062992126" header="0" footer="0"/>
  <pageSetup horizontalDpi="600" verticalDpi="600" orientation="landscape" paperSize="9" scale="80" r:id="rId2"/>
  <headerFooter alignWithMargins="0">
    <oddFooter>&amp;R&amp;P/&amp;N</oddFooter>
  </headerFooter>
  <drawing r:id="rId1"/>
</worksheet>
</file>

<file path=xl/worksheets/sheet5.xml><?xml version="1.0" encoding="utf-8"?>
<worksheet xmlns="http://schemas.openxmlformats.org/spreadsheetml/2006/main" xmlns:r="http://schemas.openxmlformats.org/officeDocument/2006/relationships">
  <sheetPr>
    <tabColor rgb="FFFF0000"/>
    <pageSetUpPr fitToPage="1"/>
  </sheetPr>
  <dimension ref="A1:M69"/>
  <sheetViews>
    <sheetView view="pageBreakPreview" zoomScaleNormal="70" zoomScaleSheetLayoutView="100" zoomScalePageLayoutView="0" workbookViewId="0" topLeftCell="A1">
      <pane xSplit="2" ySplit="7" topLeftCell="C41" activePane="bottomRight" state="frozen"/>
      <selection pane="topLeft" activeCell="E16" sqref="E16"/>
      <selection pane="topRight" activeCell="E16" sqref="E16"/>
      <selection pane="bottomLeft" activeCell="E16" sqref="E16"/>
      <selection pane="bottomRight" activeCell="D5" sqref="D5:D6"/>
    </sheetView>
  </sheetViews>
  <sheetFormatPr defaultColWidth="9.00390625" defaultRowHeight="15.75"/>
  <cols>
    <col min="1" max="1" width="4.00390625" style="209" customWidth="1"/>
    <col min="2" max="2" width="35.75390625" style="209" customWidth="1"/>
    <col min="3" max="3" width="11.25390625" style="209" customWidth="1"/>
    <col min="4" max="5" width="11.375" style="209" customWidth="1"/>
    <col min="6" max="6" width="11.375" style="209" hidden="1" customWidth="1"/>
    <col min="7" max="10" width="11.375" style="209" customWidth="1"/>
    <col min="11" max="11" width="10.125" style="209" customWidth="1"/>
    <col min="12" max="12" width="8.75390625" style="209" customWidth="1"/>
    <col min="13" max="16384" width="9.00390625" style="209" customWidth="1"/>
  </cols>
  <sheetData>
    <row r="1" spans="1:11" ht="21.75" customHeight="1">
      <c r="A1" s="1335" t="s">
        <v>106</v>
      </c>
      <c r="B1" s="1335"/>
      <c r="C1" s="1335"/>
      <c r="D1" s="1335"/>
      <c r="E1" s="1335"/>
      <c r="F1" s="1335"/>
      <c r="G1" s="1335"/>
      <c r="H1" s="1335"/>
      <c r="I1" s="1335"/>
      <c r="J1" s="1335"/>
      <c r="K1" s="1335"/>
    </row>
    <row r="2" spans="1:11" ht="21.75" customHeight="1">
      <c r="A2" s="1336" t="s">
        <v>1176</v>
      </c>
      <c r="B2" s="1336"/>
      <c r="C2" s="1336"/>
      <c r="D2" s="1336"/>
      <c r="E2" s="1336"/>
      <c r="F2" s="1336"/>
      <c r="G2" s="1336"/>
      <c r="H2" s="1336"/>
      <c r="I2" s="1336"/>
      <c r="J2" s="1336"/>
      <c r="K2" s="1336"/>
    </row>
    <row r="3" spans="1:11" ht="21.75" customHeight="1">
      <c r="A3" s="1337" t="s">
        <v>1276</v>
      </c>
      <c r="B3" s="1337"/>
      <c r="C3" s="1337"/>
      <c r="D3" s="1337"/>
      <c r="E3" s="1337"/>
      <c r="F3" s="1337"/>
      <c r="G3" s="1337"/>
      <c r="H3" s="1337"/>
      <c r="I3" s="1337"/>
      <c r="J3" s="1337"/>
      <c r="K3" s="1337"/>
    </row>
    <row r="4" spans="8:11" ht="15.75">
      <c r="H4" s="210"/>
      <c r="I4" s="210"/>
      <c r="J4" s="210"/>
      <c r="K4" s="210"/>
    </row>
    <row r="5" spans="1:11" s="211" customFormat="1" ht="21.75" customHeight="1">
      <c r="A5" s="1328" t="s">
        <v>2</v>
      </c>
      <c r="B5" s="1328" t="s">
        <v>3</v>
      </c>
      <c r="C5" s="1328" t="s">
        <v>4</v>
      </c>
      <c r="D5" s="1328" t="s">
        <v>472</v>
      </c>
      <c r="E5" s="1330" t="s">
        <v>468</v>
      </c>
      <c r="F5" s="1331"/>
      <c r="G5" s="1331"/>
      <c r="H5" s="1331"/>
      <c r="I5" s="1332"/>
      <c r="J5" s="1328" t="s">
        <v>470</v>
      </c>
      <c r="K5" s="1333" t="s">
        <v>471</v>
      </c>
    </row>
    <row r="6" spans="1:11" s="211" customFormat="1" ht="69" customHeight="1">
      <c r="A6" s="1329"/>
      <c r="B6" s="1329"/>
      <c r="C6" s="1329"/>
      <c r="D6" s="1329"/>
      <c r="E6" s="1022" t="s">
        <v>5</v>
      </c>
      <c r="F6" s="1022" t="s">
        <v>6</v>
      </c>
      <c r="G6" s="1023" t="s">
        <v>7</v>
      </c>
      <c r="H6" s="1023" t="s">
        <v>469</v>
      </c>
      <c r="I6" s="508" t="s">
        <v>1169</v>
      </c>
      <c r="J6" s="1329"/>
      <c r="K6" s="1334"/>
    </row>
    <row r="7" spans="1:11" s="511" customFormat="1" ht="17.25" customHeight="1">
      <c r="A7" s="509">
        <v>1</v>
      </c>
      <c r="B7" s="509">
        <v>2</v>
      </c>
      <c r="C7" s="509">
        <v>3</v>
      </c>
      <c r="D7" s="509">
        <v>4</v>
      </c>
      <c r="E7" s="509">
        <v>5</v>
      </c>
      <c r="F7" s="509">
        <v>6</v>
      </c>
      <c r="G7" s="509">
        <v>6</v>
      </c>
      <c r="H7" s="510" t="s">
        <v>1170</v>
      </c>
      <c r="I7" s="510" t="s">
        <v>1171</v>
      </c>
      <c r="J7" s="509">
        <v>9</v>
      </c>
      <c r="K7" s="509" t="s">
        <v>9</v>
      </c>
    </row>
    <row r="8" spans="1:11" s="1458" customFormat="1" ht="15.75">
      <c r="A8" s="1454" t="s">
        <v>107</v>
      </c>
      <c r="B8" s="1455" t="s">
        <v>108</v>
      </c>
      <c r="C8" s="1456"/>
      <c r="D8" s="1457"/>
      <c r="E8" s="1457"/>
      <c r="F8" s="1457"/>
      <c r="G8" s="1457"/>
      <c r="H8" s="1457"/>
      <c r="I8" s="1457"/>
      <c r="J8" s="1457"/>
      <c r="K8" s="1457"/>
    </row>
    <row r="9" spans="1:12" ht="15.75">
      <c r="A9" s="1459" t="s">
        <v>13</v>
      </c>
      <c r="B9" s="1460" t="s">
        <v>109</v>
      </c>
      <c r="C9" s="509" t="s">
        <v>119</v>
      </c>
      <c r="D9" s="1461">
        <v>566.953</v>
      </c>
      <c r="E9" s="1461">
        <v>575.785</v>
      </c>
      <c r="F9" s="1461">
        <v>576.658</v>
      </c>
      <c r="G9" s="1461">
        <v>576.658</v>
      </c>
      <c r="H9" s="1462">
        <f>G9/D9*100</f>
        <v>101.71178210539497</v>
      </c>
      <c r="I9" s="1462">
        <f>G9/E9*100</f>
        <v>100.15161909393264</v>
      </c>
      <c r="J9" s="1461">
        <v>586.442</v>
      </c>
      <c r="K9" s="1462">
        <f>J9/G9*100</f>
        <v>101.6966728979742</v>
      </c>
      <c r="L9" s="1463">
        <f>F9/D9*100-100</f>
        <v>1.711782105394974</v>
      </c>
    </row>
    <row r="10" spans="1:11" ht="15.75">
      <c r="A10" s="1464"/>
      <c r="B10" s="1465" t="s">
        <v>110</v>
      </c>
      <c r="C10" s="509" t="s">
        <v>119</v>
      </c>
      <c r="D10" s="1461">
        <v>481.372</v>
      </c>
      <c r="E10" s="1461">
        <v>488.841</v>
      </c>
      <c r="F10" s="1461">
        <v>489.479</v>
      </c>
      <c r="G10" s="1461">
        <v>489.479</v>
      </c>
      <c r="H10" s="1462">
        <f>G10/D10*100</f>
        <v>101.68414448700796</v>
      </c>
      <c r="I10" s="1462">
        <f>G10/E10*100</f>
        <v>100.13051278432046</v>
      </c>
      <c r="J10" s="1461">
        <v>497.647</v>
      </c>
      <c r="K10" s="1462">
        <f>J10/G10*100</f>
        <v>101.66871306021301</v>
      </c>
    </row>
    <row r="11" spans="1:11" ht="15.75">
      <c r="A11" s="1464"/>
      <c r="B11" s="1465" t="s">
        <v>111</v>
      </c>
      <c r="C11" s="1466" t="s">
        <v>112</v>
      </c>
      <c r="D11" s="1467"/>
      <c r="E11" s="1468"/>
      <c r="F11" s="1468"/>
      <c r="G11" s="1468"/>
      <c r="H11" s="1462"/>
      <c r="I11" s="1462"/>
      <c r="J11" s="1468"/>
      <c r="K11" s="1462"/>
    </row>
    <row r="12" spans="1:11" s="1471" customFormat="1" ht="15.75">
      <c r="A12" s="1459" t="s">
        <v>13</v>
      </c>
      <c r="B12" s="1460" t="s">
        <v>113</v>
      </c>
      <c r="C12" s="1469" t="s">
        <v>114</v>
      </c>
      <c r="D12" s="1470">
        <v>67.63</v>
      </c>
      <c r="E12" s="1470">
        <v>68.5</v>
      </c>
      <c r="F12" s="1470"/>
      <c r="G12" s="1470">
        <v>67.91</v>
      </c>
      <c r="H12" s="1462">
        <f>G12/D12*100</f>
        <v>100.41401744787817</v>
      </c>
      <c r="I12" s="1462">
        <f>G12/E12*100</f>
        <v>99.13868613138686</v>
      </c>
      <c r="J12" s="1470">
        <v>68.2</v>
      </c>
      <c r="K12" s="1462">
        <f>J12/G12*100</f>
        <v>100.42703578265353</v>
      </c>
    </row>
    <row r="13" spans="1:12" s="1471" customFormat="1" ht="30">
      <c r="A13" s="1459" t="s">
        <v>13</v>
      </c>
      <c r="B13" s="1460" t="s">
        <v>115</v>
      </c>
      <c r="C13" s="1472" t="s">
        <v>116</v>
      </c>
      <c r="D13" s="1470">
        <v>109.2</v>
      </c>
      <c r="E13" s="1470">
        <v>108.5</v>
      </c>
      <c r="F13" s="1470">
        <v>109.3</v>
      </c>
      <c r="G13" s="1470">
        <v>109.5</v>
      </c>
      <c r="H13" s="1462">
        <f>G13/D13*100</f>
        <v>100.27472527472527</v>
      </c>
      <c r="I13" s="1462">
        <f>G13/E13*100</f>
        <v>100.92165898617512</v>
      </c>
      <c r="J13" s="1470">
        <v>109</v>
      </c>
      <c r="K13" s="1462">
        <f>J13/G13*100</f>
        <v>99.54337899543378</v>
      </c>
      <c r="L13" s="1471">
        <f>G13/D13*100</f>
        <v>100.27472527472527</v>
      </c>
    </row>
    <row r="14" spans="1:11" s="1458" customFormat="1" ht="15.75">
      <c r="A14" s="1456" t="s">
        <v>117</v>
      </c>
      <c r="B14" s="1455" t="s">
        <v>118</v>
      </c>
      <c r="C14" s="1473"/>
      <c r="D14" s="1474"/>
      <c r="E14" s="1474"/>
      <c r="F14" s="1474"/>
      <c r="G14" s="1475"/>
      <c r="H14" s="1476"/>
      <c r="I14" s="1476"/>
      <c r="J14" s="1474"/>
      <c r="K14" s="1476"/>
    </row>
    <row r="15" spans="1:11" ht="30.75" customHeight="1">
      <c r="A15" s="1477" t="s">
        <v>13</v>
      </c>
      <c r="B15" s="1478" t="s">
        <v>1193</v>
      </c>
      <c r="C15" s="509" t="s">
        <v>119</v>
      </c>
      <c r="D15" s="1479">
        <v>317.581</v>
      </c>
      <c r="E15" s="1479">
        <v>322.685</v>
      </c>
      <c r="F15" s="1479">
        <v>322.164</v>
      </c>
      <c r="G15" s="1461">
        <v>326.161</v>
      </c>
      <c r="H15" s="1476">
        <f>G15/D15*100</f>
        <v>102.70167295902462</v>
      </c>
      <c r="I15" s="1476">
        <f>G15/E15*100</f>
        <v>101.0772115220726</v>
      </c>
      <c r="J15" s="1479">
        <v>329.508</v>
      </c>
      <c r="K15" s="1476">
        <f>J15/G15*100</f>
        <v>101.02618032198822</v>
      </c>
    </row>
    <row r="16" spans="1:11" ht="31.5">
      <c r="A16" s="1477" t="s">
        <v>13</v>
      </c>
      <c r="B16" s="1460" t="s">
        <v>120</v>
      </c>
      <c r="C16" s="509" t="s">
        <v>119</v>
      </c>
      <c r="D16" s="1480">
        <v>47</v>
      </c>
      <c r="E16" s="1481"/>
      <c r="F16" s="1482">
        <v>0.023</v>
      </c>
      <c r="G16" s="1483">
        <v>46</v>
      </c>
      <c r="H16" s="1484">
        <f>G16/D16*100</f>
        <v>97.87234042553192</v>
      </c>
      <c r="I16" s="1485"/>
      <c r="J16" s="1486"/>
      <c r="K16" s="1476"/>
    </row>
    <row r="17" spans="1:11" ht="31.5">
      <c r="A17" s="1477" t="s">
        <v>13</v>
      </c>
      <c r="B17" s="1460" t="s">
        <v>121</v>
      </c>
      <c r="C17" s="1469" t="s">
        <v>21</v>
      </c>
      <c r="D17" s="1487">
        <v>49.7</v>
      </c>
      <c r="E17" s="1488">
        <v>52.1</v>
      </c>
      <c r="F17" s="1489">
        <v>51</v>
      </c>
      <c r="G17" s="1489">
        <v>52.16</v>
      </c>
      <c r="H17" s="1476">
        <f>G17-D17</f>
        <v>2.4599999999999937</v>
      </c>
      <c r="I17" s="1476">
        <f>G17-E17</f>
        <v>0.05999999999999517</v>
      </c>
      <c r="J17" s="1490">
        <v>54.57</v>
      </c>
      <c r="K17" s="1476">
        <f>J17-G17</f>
        <v>2.4100000000000037</v>
      </c>
    </row>
    <row r="18" spans="1:11" s="1458" customFormat="1" ht="31.5">
      <c r="A18" s="1456" t="s">
        <v>122</v>
      </c>
      <c r="B18" s="1455" t="s">
        <v>466</v>
      </c>
      <c r="C18" s="1473"/>
      <c r="D18" s="1474"/>
      <c r="E18" s="1491"/>
      <c r="F18" s="1491"/>
      <c r="G18" s="1491"/>
      <c r="H18" s="1491"/>
      <c r="I18" s="1476"/>
      <c r="J18" s="1474"/>
      <c r="K18" s="1476"/>
    </row>
    <row r="19" spans="1:11" s="1471" customFormat="1" ht="15.75">
      <c r="A19" s="1459" t="s">
        <v>13</v>
      </c>
      <c r="B19" s="1460" t="s">
        <v>123</v>
      </c>
      <c r="C19" s="1492" t="s">
        <v>127</v>
      </c>
      <c r="D19" s="1493">
        <v>124810</v>
      </c>
      <c r="E19" s="1494">
        <v>128300</v>
      </c>
      <c r="F19" s="1495"/>
      <c r="G19" s="1494">
        <v>127918</v>
      </c>
      <c r="H19" s="1496">
        <f>G19/D19*100</f>
        <v>102.49018508132362</v>
      </c>
      <c r="I19" s="1497">
        <f>G19/E19*100</f>
        <v>99.70226032735775</v>
      </c>
      <c r="J19" s="1498">
        <v>130668</v>
      </c>
      <c r="K19" s="1499">
        <f>J19/G19*100</f>
        <v>102.14981472505823</v>
      </c>
    </row>
    <row r="20" spans="1:11" s="1505" customFormat="1" ht="15.75">
      <c r="A20" s="1500" t="s">
        <v>13</v>
      </c>
      <c r="B20" s="1501" t="s">
        <v>124</v>
      </c>
      <c r="C20" s="1492" t="s">
        <v>127</v>
      </c>
      <c r="D20" s="1493">
        <v>51188</v>
      </c>
      <c r="E20" s="1502">
        <v>48883</v>
      </c>
      <c r="F20" s="1503"/>
      <c r="G20" s="1502">
        <v>47911</v>
      </c>
      <c r="H20" s="1496">
        <f>G20/D20*100</f>
        <v>93.59810893178089</v>
      </c>
      <c r="I20" s="1497">
        <f>G20/E20*100</f>
        <v>98.0115786674304</v>
      </c>
      <c r="J20" s="1504">
        <v>44387</v>
      </c>
      <c r="K20" s="1499">
        <f>J20/G20*100</f>
        <v>92.64469537267016</v>
      </c>
    </row>
    <row r="21" spans="1:11" s="1505" customFormat="1" ht="15.75">
      <c r="A21" s="1500" t="s">
        <v>13</v>
      </c>
      <c r="B21" s="1501" t="s">
        <v>125</v>
      </c>
      <c r="C21" s="1492" t="s">
        <v>21</v>
      </c>
      <c r="D21" s="1506">
        <f>D20/D19*100</f>
        <v>41.01273936383303</v>
      </c>
      <c r="E21" s="1506">
        <f>E20/E19*100</f>
        <v>38.10054559625877</v>
      </c>
      <c r="F21" s="1506" t="e">
        <f>F20/F19*100</f>
        <v>#DIV/0!</v>
      </c>
      <c r="G21" s="1506">
        <f>G20/G19*100</f>
        <v>37.45446301536922</v>
      </c>
      <c r="H21" s="1496">
        <f>G21-D21</f>
        <v>-3.5582763484638065</v>
      </c>
      <c r="I21" s="1497">
        <f>G21-E21</f>
        <v>-0.6460825808895478</v>
      </c>
      <c r="J21" s="1506">
        <f>J20/J19*100</f>
        <v>33.9692962316711</v>
      </c>
      <c r="K21" s="1499">
        <f>J21-G21</f>
        <v>-3.4851667836981193</v>
      </c>
    </row>
    <row r="22" spans="1:11" s="1505" customFormat="1" ht="15.75">
      <c r="A22" s="1500" t="s">
        <v>13</v>
      </c>
      <c r="B22" s="1507" t="s">
        <v>126</v>
      </c>
      <c r="C22" s="1508" t="s">
        <v>465</v>
      </c>
      <c r="D22" s="1493">
        <v>23535</v>
      </c>
      <c r="E22" s="1509"/>
      <c r="F22" s="1510"/>
      <c r="G22" s="1509">
        <v>22642</v>
      </c>
      <c r="H22" s="1496"/>
      <c r="I22" s="1497"/>
      <c r="J22" s="1509"/>
      <c r="K22" s="1499"/>
    </row>
    <row r="23" spans="1:11" s="1505" customFormat="1" ht="15.75">
      <c r="A23" s="1500" t="s">
        <v>13</v>
      </c>
      <c r="B23" s="1501" t="s">
        <v>128</v>
      </c>
      <c r="C23" s="1492" t="s">
        <v>21</v>
      </c>
      <c r="D23" s="1506">
        <f>44.82-D21</f>
        <v>3.8072606361669727</v>
      </c>
      <c r="E23" s="1506">
        <f>41.64-E21</f>
        <v>3.5394544037412317</v>
      </c>
      <c r="F23" s="1511"/>
      <c r="G23" s="1506">
        <f>D21-G21</f>
        <v>3.5582763484638065</v>
      </c>
      <c r="H23" s="1512">
        <f>G23-D23</f>
        <v>-0.24898428770316627</v>
      </c>
      <c r="I23" s="1513">
        <f>G23-E23</f>
        <v>0.018821944722574813</v>
      </c>
      <c r="J23" s="1506">
        <f>G21-J21</f>
        <v>3.4851667836981193</v>
      </c>
      <c r="K23" s="1514">
        <f>J23-G23</f>
        <v>-0.0731095647656872</v>
      </c>
    </row>
    <row r="24" spans="1:11" s="1505" customFormat="1" ht="15.75">
      <c r="A24" s="1500" t="s">
        <v>13</v>
      </c>
      <c r="B24" s="1501" t="s">
        <v>129</v>
      </c>
      <c r="C24" s="1492" t="s">
        <v>127</v>
      </c>
      <c r="D24" s="1493">
        <v>11782</v>
      </c>
      <c r="E24" s="1509">
        <v>8673</v>
      </c>
      <c r="F24" s="1511"/>
      <c r="G24" s="1515">
        <v>8621</v>
      </c>
      <c r="H24" s="1496">
        <f>G24/D24*100</f>
        <v>73.17093872008148</v>
      </c>
      <c r="I24" s="1497">
        <f>G24/E24*100</f>
        <v>99.40043814135824</v>
      </c>
      <c r="J24" s="1515">
        <v>7121</v>
      </c>
      <c r="K24" s="1499">
        <f>J24/G24*100</f>
        <v>82.60062637745041</v>
      </c>
    </row>
    <row r="25" spans="1:11" s="1505" customFormat="1" ht="15.75">
      <c r="A25" s="1500" t="s">
        <v>13</v>
      </c>
      <c r="B25" s="1501" t="s">
        <v>130</v>
      </c>
      <c r="C25" s="1492" t="s">
        <v>21</v>
      </c>
      <c r="D25" s="1516">
        <v>9.44</v>
      </c>
      <c r="E25" s="1516">
        <f>E24/E19*100</f>
        <v>6.7599376461418546</v>
      </c>
      <c r="F25" s="1516"/>
      <c r="G25" s="1517">
        <f>G24/G19*100</f>
        <v>6.739473725355307</v>
      </c>
      <c r="H25" s="1496">
        <f>G25-D25</f>
        <v>-2.7005262746446927</v>
      </c>
      <c r="I25" s="1497">
        <f>G25-E25</f>
        <v>-0.020463920786547796</v>
      </c>
      <c r="J25" s="1517">
        <f>J24/J19*100</f>
        <v>5.449689288884807</v>
      </c>
      <c r="K25" s="1499">
        <f>J25-G25</f>
        <v>-1.2897844364704998</v>
      </c>
    </row>
    <row r="26" spans="1:13" s="1505" customFormat="1" ht="15.75">
      <c r="A26" s="1500" t="s">
        <v>13</v>
      </c>
      <c r="B26" s="1501" t="s">
        <v>131</v>
      </c>
      <c r="C26" s="1492" t="s">
        <v>127</v>
      </c>
      <c r="D26" s="1518">
        <v>3535</v>
      </c>
      <c r="E26" s="1518">
        <v>3430</v>
      </c>
      <c r="F26" s="1519"/>
      <c r="G26" s="1520">
        <v>3558</v>
      </c>
      <c r="H26" s="1496">
        <f>G26/D26*100</f>
        <v>100.65063649222066</v>
      </c>
      <c r="I26" s="1497">
        <f>G26/E26*100</f>
        <v>103.73177842565597</v>
      </c>
      <c r="J26" s="1520">
        <v>4074</v>
      </c>
      <c r="K26" s="1499">
        <f>J26/G26*100</f>
        <v>114.50252951096121</v>
      </c>
      <c r="L26" s="1505" t="s">
        <v>1194</v>
      </c>
      <c r="M26" s="1505">
        <f>G26/D26*100</f>
        <v>100.65063649222066</v>
      </c>
    </row>
    <row r="27" spans="1:13" s="1505" customFormat="1" ht="15.75">
      <c r="A27" s="1500" t="s">
        <v>13</v>
      </c>
      <c r="B27" s="1521" t="s">
        <v>1390</v>
      </c>
      <c r="C27" s="1492" t="s">
        <v>127</v>
      </c>
      <c r="D27" s="1518"/>
      <c r="E27" s="1518"/>
      <c r="F27" s="1511"/>
      <c r="G27" s="1520">
        <v>281</v>
      </c>
      <c r="H27" s="1522"/>
      <c r="I27" s="1497"/>
      <c r="J27" s="1520">
        <v>550</v>
      </c>
      <c r="K27" s="1499">
        <f>J27/G27*100</f>
        <v>195.72953736654804</v>
      </c>
      <c r="M27" s="1505" t="e">
        <f>G27/D27*100</f>
        <v>#DIV/0!</v>
      </c>
    </row>
    <row r="28" spans="1:11" s="1458" customFormat="1" ht="31.5">
      <c r="A28" s="1456" t="s">
        <v>132</v>
      </c>
      <c r="B28" s="1455" t="s">
        <v>133</v>
      </c>
      <c r="C28" s="1523"/>
      <c r="D28" s="1474"/>
      <c r="E28" s="1524">
        <f>D20-G20</f>
        <v>3277</v>
      </c>
      <c r="F28" s="1474"/>
      <c r="G28" s="1474"/>
      <c r="H28" s="1476"/>
      <c r="I28" s="1476"/>
      <c r="J28" s="1474"/>
      <c r="K28" s="1476"/>
    </row>
    <row r="29" spans="1:11" s="1458" customFormat="1" ht="15.75">
      <c r="A29" s="1477" t="s">
        <v>13</v>
      </c>
      <c r="B29" s="1460" t="s">
        <v>134</v>
      </c>
      <c r="C29" s="1469" t="s">
        <v>85</v>
      </c>
      <c r="D29" s="1525">
        <v>130</v>
      </c>
      <c r="E29" s="1525">
        <v>130</v>
      </c>
      <c r="F29" s="1525">
        <v>130</v>
      </c>
      <c r="G29" s="1525">
        <v>130</v>
      </c>
      <c r="H29" s="1476"/>
      <c r="I29" s="1476"/>
      <c r="J29" s="1476"/>
      <c r="K29" s="1476"/>
    </row>
    <row r="30" spans="1:11" ht="15.75">
      <c r="A30" s="1467"/>
      <c r="B30" s="1526" t="s">
        <v>12</v>
      </c>
      <c r="C30" s="1469"/>
      <c r="D30" s="1525"/>
      <c r="E30" s="1525"/>
      <c r="F30" s="1525"/>
      <c r="G30" s="1525"/>
      <c r="H30" s="1476"/>
      <c r="I30" s="1476"/>
      <c r="J30" s="1476"/>
      <c r="K30" s="1476"/>
    </row>
    <row r="31" spans="1:11" s="1471" customFormat="1" ht="31.5">
      <c r="A31" s="1527"/>
      <c r="B31" s="1528" t="s">
        <v>135</v>
      </c>
      <c r="C31" s="1469" t="s">
        <v>85</v>
      </c>
      <c r="D31" s="1529">
        <v>130</v>
      </c>
      <c r="E31" s="1529">
        <v>130</v>
      </c>
      <c r="F31" s="1529">
        <v>130</v>
      </c>
      <c r="G31" s="1529">
        <v>130</v>
      </c>
      <c r="H31" s="1476"/>
      <c r="I31" s="1476"/>
      <c r="J31" s="1529"/>
      <c r="K31" s="1530"/>
    </row>
    <row r="32" spans="1:11" s="1471" customFormat="1" ht="15.75">
      <c r="A32" s="1527"/>
      <c r="B32" s="1528" t="s">
        <v>136</v>
      </c>
      <c r="C32" s="1469"/>
      <c r="D32" s="1529">
        <v>29</v>
      </c>
      <c r="E32" s="1529">
        <v>29</v>
      </c>
      <c r="F32" s="1529">
        <v>29</v>
      </c>
      <c r="G32" s="1529">
        <v>29</v>
      </c>
      <c r="H32" s="1476"/>
      <c r="I32" s="1476"/>
      <c r="J32" s="1529"/>
      <c r="K32" s="1530"/>
    </row>
    <row r="33" spans="1:12" ht="15.75">
      <c r="A33" s="1467"/>
      <c r="B33" s="1528" t="s">
        <v>137</v>
      </c>
      <c r="C33" s="1469" t="s">
        <v>85</v>
      </c>
      <c r="D33" s="1525">
        <v>130</v>
      </c>
      <c r="E33" s="1525">
        <v>130</v>
      </c>
      <c r="F33" s="1525">
        <v>130</v>
      </c>
      <c r="G33" s="1525">
        <v>130</v>
      </c>
      <c r="H33" s="1476">
        <f>G33/D33*100</f>
        <v>100</v>
      </c>
      <c r="I33" s="1476"/>
      <c r="J33" s="1476">
        <v>130</v>
      </c>
      <c r="K33" s="1476"/>
      <c r="L33" s="1531"/>
    </row>
    <row r="34" spans="1:12" s="1471" customFormat="1" ht="15.75">
      <c r="A34" s="1467"/>
      <c r="B34" s="1528" t="s">
        <v>138</v>
      </c>
      <c r="C34" s="1532" t="s">
        <v>21</v>
      </c>
      <c r="D34" s="1533">
        <v>100</v>
      </c>
      <c r="E34" s="1533">
        <v>100</v>
      </c>
      <c r="F34" s="1533">
        <v>100</v>
      </c>
      <c r="G34" s="1533">
        <v>100</v>
      </c>
      <c r="H34" s="1533">
        <v>100</v>
      </c>
      <c r="I34" s="1533"/>
      <c r="J34" s="1533">
        <v>100</v>
      </c>
      <c r="K34" s="1534"/>
      <c r="L34" s="1531"/>
    </row>
    <row r="35" spans="1:11" ht="15.75">
      <c r="A35" s="1467"/>
      <c r="B35" s="1528" t="s">
        <v>139</v>
      </c>
      <c r="C35" s="1469" t="s">
        <v>85</v>
      </c>
      <c r="D35" s="1535">
        <v>130</v>
      </c>
      <c r="E35" s="1535">
        <v>130</v>
      </c>
      <c r="F35" s="1535">
        <v>130</v>
      </c>
      <c r="G35" s="1535">
        <v>130</v>
      </c>
      <c r="H35" s="265">
        <f>G35/D35*100</f>
        <v>100</v>
      </c>
      <c r="I35" s="265">
        <f>G35/E35*100</f>
        <v>100</v>
      </c>
      <c r="J35" s="1535">
        <v>130</v>
      </c>
      <c r="K35" s="265">
        <f>J35/G35*100</f>
        <v>100</v>
      </c>
    </row>
    <row r="36" spans="1:11" s="1471" customFormat="1" ht="15.75">
      <c r="A36" s="1467"/>
      <c r="B36" s="1528" t="s">
        <v>140</v>
      </c>
      <c r="C36" s="1532" t="s">
        <v>21</v>
      </c>
      <c r="D36" s="1536">
        <v>100</v>
      </c>
      <c r="E36" s="1536">
        <v>100</v>
      </c>
      <c r="F36" s="1536">
        <v>100</v>
      </c>
      <c r="G36" s="1536">
        <v>100</v>
      </c>
      <c r="H36" s="265">
        <v>0</v>
      </c>
      <c r="I36" s="265">
        <v>0</v>
      </c>
      <c r="J36" s="1536">
        <v>100</v>
      </c>
      <c r="K36" s="265">
        <v>0</v>
      </c>
    </row>
    <row r="37" spans="1:11" ht="15.75">
      <c r="A37" s="1467"/>
      <c r="B37" s="1528" t="s">
        <v>141</v>
      </c>
      <c r="C37" s="1469" t="s">
        <v>142</v>
      </c>
      <c r="D37" s="1537">
        <v>57</v>
      </c>
      <c r="E37" s="1537">
        <v>58</v>
      </c>
      <c r="F37" s="1537">
        <v>57</v>
      </c>
      <c r="G37" s="1537">
        <v>57</v>
      </c>
      <c r="H37" s="265">
        <f>G37/D37*100</f>
        <v>100</v>
      </c>
      <c r="I37" s="265">
        <f>G37/E37*100</f>
        <v>98.27586206896551</v>
      </c>
      <c r="J37" s="1537">
        <v>59</v>
      </c>
      <c r="K37" s="265">
        <f>J37/G37*100</f>
        <v>103.50877192982458</v>
      </c>
    </row>
    <row r="38" spans="1:11" ht="15.75">
      <c r="A38" s="1467"/>
      <c r="B38" s="1528" t="s">
        <v>143</v>
      </c>
      <c r="C38" s="1469" t="s">
        <v>85</v>
      </c>
      <c r="D38" s="1538">
        <v>92</v>
      </c>
      <c r="E38" s="1538">
        <v>92</v>
      </c>
      <c r="F38" s="1538">
        <v>92</v>
      </c>
      <c r="G38" s="1538">
        <v>92</v>
      </c>
      <c r="H38" s="1497">
        <v>100</v>
      </c>
      <c r="I38" s="1497"/>
      <c r="J38" s="1497">
        <v>92</v>
      </c>
      <c r="K38" s="1497">
        <v>100</v>
      </c>
    </row>
    <row r="39" spans="1:11" ht="15.75">
      <c r="A39" s="1467"/>
      <c r="B39" s="1528" t="s">
        <v>144</v>
      </c>
      <c r="C39" s="1532" t="s">
        <v>21</v>
      </c>
      <c r="D39" s="1497">
        <v>79.31</v>
      </c>
      <c r="E39" s="1497">
        <v>79.31</v>
      </c>
      <c r="F39" s="1497">
        <v>79.31</v>
      </c>
      <c r="G39" s="1497">
        <v>79.31</v>
      </c>
      <c r="H39" s="1497"/>
      <c r="I39" s="1497"/>
      <c r="J39" s="1497">
        <v>79.31</v>
      </c>
      <c r="K39" s="1497"/>
    </row>
    <row r="40" spans="1:11" ht="15.75">
      <c r="A40" s="1467"/>
      <c r="B40" s="1528" t="s">
        <v>145</v>
      </c>
      <c r="C40" s="1469" t="s">
        <v>90</v>
      </c>
      <c r="D40" s="1538">
        <v>36</v>
      </c>
      <c r="E40" s="1539">
        <v>36</v>
      </c>
      <c r="F40" s="1539">
        <v>36</v>
      </c>
      <c r="G40" s="1497">
        <v>36</v>
      </c>
      <c r="H40" s="1497"/>
      <c r="I40" s="1497"/>
      <c r="J40" s="1497">
        <v>36</v>
      </c>
      <c r="K40" s="1497"/>
    </row>
    <row r="41" spans="1:11" ht="15.75">
      <c r="A41" s="1467"/>
      <c r="B41" s="1528" t="s">
        <v>146</v>
      </c>
      <c r="C41" s="1532" t="s">
        <v>21</v>
      </c>
      <c r="D41" s="1497">
        <v>27.69</v>
      </c>
      <c r="E41" s="1497">
        <v>27.69</v>
      </c>
      <c r="F41" s="1497">
        <v>27.69</v>
      </c>
      <c r="G41" s="1497">
        <v>27.69</v>
      </c>
      <c r="H41" s="1497"/>
      <c r="I41" s="1497"/>
      <c r="J41" s="1497">
        <v>31.03</v>
      </c>
      <c r="K41" s="1497"/>
    </row>
    <row r="42" spans="1:12" ht="15.75">
      <c r="A42" s="1477" t="s">
        <v>13</v>
      </c>
      <c r="B42" s="1460" t="s">
        <v>147</v>
      </c>
      <c r="C42" s="1469" t="s">
        <v>127</v>
      </c>
      <c r="D42" s="1538">
        <v>98347</v>
      </c>
      <c r="E42" s="265">
        <v>109039</v>
      </c>
      <c r="F42" s="265">
        <v>112540</v>
      </c>
      <c r="G42" s="265"/>
      <c r="H42" s="265">
        <v>112540</v>
      </c>
      <c r="I42" s="265"/>
      <c r="J42" s="266">
        <f>H42/E42%</f>
        <v>103.21077779510082</v>
      </c>
      <c r="K42" s="1538"/>
      <c r="L42" s="1540">
        <v>102.59</v>
      </c>
    </row>
    <row r="43" spans="1:12" ht="15.75">
      <c r="A43" s="1477" t="s">
        <v>13</v>
      </c>
      <c r="B43" s="1460" t="s">
        <v>148</v>
      </c>
      <c r="C43" s="1469" t="s">
        <v>21</v>
      </c>
      <c r="D43" s="1497">
        <v>87.23</v>
      </c>
      <c r="E43" s="266">
        <v>87.2</v>
      </c>
      <c r="F43" s="266"/>
      <c r="G43" s="266"/>
      <c r="H43" s="266">
        <v>88.24</v>
      </c>
      <c r="I43" s="266"/>
      <c r="J43" s="266">
        <v>90.52</v>
      </c>
      <c r="K43" s="1497">
        <f>J43-H43</f>
        <v>2.280000000000001</v>
      </c>
      <c r="L43" s="1540">
        <f>K43-H43</f>
        <v>-85.96</v>
      </c>
    </row>
    <row r="44" spans="1:11" ht="15.75">
      <c r="A44" s="1477" t="s">
        <v>13</v>
      </c>
      <c r="B44" s="1460" t="s">
        <v>444</v>
      </c>
      <c r="C44" s="1469" t="s">
        <v>127</v>
      </c>
      <c r="D44" s="1541">
        <v>95500</v>
      </c>
      <c r="E44" s="1542">
        <v>95000</v>
      </c>
      <c r="F44" s="1529"/>
      <c r="G44" s="1541">
        <v>97888</v>
      </c>
      <c r="H44" s="1543">
        <v>102.50052356020942</v>
      </c>
      <c r="I44" s="1543"/>
      <c r="J44" s="1529"/>
      <c r="K44" s="1476"/>
    </row>
    <row r="45" spans="1:11" ht="15.75">
      <c r="A45" s="1477" t="s">
        <v>13</v>
      </c>
      <c r="B45" s="1460" t="s">
        <v>445</v>
      </c>
      <c r="C45" s="1469" t="s">
        <v>21</v>
      </c>
      <c r="D45" s="1544"/>
      <c r="E45" s="1488"/>
      <c r="F45" s="1529"/>
      <c r="G45" s="1529"/>
      <c r="H45" s="1525"/>
      <c r="I45" s="1525"/>
      <c r="J45" s="1529"/>
      <c r="K45" s="1525"/>
    </row>
    <row r="46" spans="1:11" ht="15.75">
      <c r="A46" s="1467"/>
      <c r="B46" s="1526" t="s">
        <v>68</v>
      </c>
      <c r="C46" s="1469"/>
      <c r="D46" s="1542"/>
      <c r="E46" s="1487"/>
      <c r="F46" s="1529"/>
      <c r="G46" s="1529"/>
      <c r="H46" s="1525"/>
      <c r="I46" s="1525"/>
      <c r="J46" s="1529"/>
      <c r="K46" s="1525"/>
    </row>
    <row r="47" spans="1:11" ht="15.75">
      <c r="A47" s="1467"/>
      <c r="B47" s="1460" t="s">
        <v>149</v>
      </c>
      <c r="C47" s="1469" t="s">
        <v>21</v>
      </c>
      <c r="D47" s="1544">
        <v>98.9</v>
      </c>
      <c r="E47" s="1544">
        <v>99</v>
      </c>
      <c r="F47" s="1489"/>
      <c r="G47" s="1489">
        <v>99</v>
      </c>
      <c r="H47" s="1461"/>
      <c r="I47" s="1461"/>
      <c r="J47" s="1489">
        <v>99.5</v>
      </c>
      <c r="K47" s="1476">
        <f>J47-G47</f>
        <v>0.5</v>
      </c>
    </row>
    <row r="48" spans="1:11" ht="15.75">
      <c r="A48" s="1467"/>
      <c r="B48" s="1460" t="s">
        <v>150</v>
      </c>
      <c r="C48" s="1469" t="s">
        <v>21</v>
      </c>
      <c r="D48" s="1544">
        <v>77.8</v>
      </c>
      <c r="E48" s="1487">
        <v>78.5</v>
      </c>
      <c r="F48" s="1487"/>
      <c r="G48" s="993">
        <v>79.92</v>
      </c>
      <c r="H48" s="1461"/>
      <c r="I48" s="1461"/>
      <c r="J48" s="993">
        <v>80.65</v>
      </c>
      <c r="K48" s="1476">
        <f>J48-G48</f>
        <v>0.730000000000004</v>
      </c>
    </row>
    <row r="49" spans="1:11" s="1458" customFormat="1" ht="15.75">
      <c r="A49" s="1456" t="s">
        <v>151</v>
      </c>
      <c r="B49" s="1455" t="s">
        <v>152</v>
      </c>
      <c r="C49" s="1523"/>
      <c r="D49" s="1544"/>
      <c r="E49" s="1474"/>
      <c r="F49" s="1474"/>
      <c r="G49" s="1474"/>
      <c r="H49" s="1525"/>
      <c r="I49" s="1525"/>
      <c r="J49" s="1474"/>
      <c r="K49" s="1525"/>
    </row>
    <row r="50" spans="1:11" s="1458" customFormat="1" ht="15.75">
      <c r="A50" s="1545" t="s">
        <v>13</v>
      </c>
      <c r="B50" s="1478" t="s">
        <v>153</v>
      </c>
      <c r="C50" s="1546" t="s">
        <v>21</v>
      </c>
      <c r="D50" s="1547">
        <v>98.5</v>
      </c>
      <c r="E50" s="1547">
        <v>98.7</v>
      </c>
      <c r="F50" s="1547">
        <v>98.6</v>
      </c>
      <c r="G50" s="1547">
        <v>98.7</v>
      </c>
      <c r="H50" s="1484">
        <f>G50-D50</f>
        <v>0.20000000000000284</v>
      </c>
      <c r="I50" s="1484">
        <f>G50-E50</f>
        <v>0</v>
      </c>
      <c r="J50" s="1547">
        <v>98.7</v>
      </c>
      <c r="K50" s="1525">
        <f>J50-G50</f>
        <v>0</v>
      </c>
    </row>
    <row r="51" spans="1:11" s="1555" customFormat="1" ht="15.75">
      <c r="A51" s="1548" t="s">
        <v>13</v>
      </c>
      <c r="B51" s="1549" t="s">
        <v>1195</v>
      </c>
      <c r="C51" s="1550" t="s">
        <v>21</v>
      </c>
      <c r="D51" s="1551"/>
      <c r="E51" s="1552">
        <v>98.22</v>
      </c>
      <c r="F51" s="1553"/>
      <c r="G51" s="1554">
        <v>97.23</v>
      </c>
      <c r="H51" s="1554"/>
      <c r="I51" s="1554"/>
      <c r="J51" s="1554">
        <v>98.17</v>
      </c>
      <c r="K51" s="1554"/>
    </row>
    <row r="52" spans="1:11" s="1555" customFormat="1" ht="15.75">
      <c r="A52" s="1548" t="s">
        <v>13</v>
      </c>
      <c r="B52" s="1549" t="s">
        <v>1196</v>
      </c>
      <c r="C52" s="1550" t="s">
        <v>21</v>
      </c>
      <c r="D52" s="1551"/>
      <c r="E52" s="1556">
        <v>0</v>
      </c>
      <c r="F52" s="1553"/>
      <c r="G52" s="1554">
        <v>96.14</v>
      </c>
      <c r="H52" s="1554"/>
      <c r="I52" s="1554"/>
      <c r="J52" s="1554">
        <v>97.54</v>
      </c>
      <c r="K52" s="1554"/>
    </row>
    <row r="53" spans="1:11" s="1555" customFormat="1" ht="15.75">
      <c r="A53" s="1548" t="s">
        <v>13</v>
      </c>
      <c r="B53" s="1549" t="s">
        <v>1197</v>
      </c>
      <c r="C53" s="1550"/>
      <c r="D53" s="1551"/>
      <c r="E53" s="1556">
        <v>0</v>
      </c>
      <c r="F53" s="1553"/>
      <c r="G53" s="1554">
        <v>0.67</v>
      </c>
      <c r="H53" s="1554"/>
      <c r="I53" s="1554"/>
      <c r="J53" s="1554">
        <v>0.78</v>
      </c>
      <c r="K53" s="1554"/>
    </row>
    <row r="54" spans="1:11" s="1560" customFormat="1" ht="31.5">
      <c r="A54" s="1557" t="s">
        <v>13</v>
      </c>
      <c r="B54" s="1478" t="s">
        <v>154</v>
      </c>
      <c r="C54" s="1546" t="s">
        <v>155</v>
      </c>
      <c r="D54" s="1558">
        <v>31.4</v>
      </c>
      <c r="E54" s="1558">
        <v>32.1</v>
      </c>
      <c r="F54" s="1558">
        <v>32.1</v>
      </c>
      <c r="G54" s="1558">
        <v>32.1</v>
      </c>
      <c r="H54" s="1462">
        <f>G54/D54*100</f>
        <v>102.22929936305734</v>
      </c>
      <c r="I54" s="1462">
        <f>G54/E54*100</f>
        <v>100</v>
      </c>
      <c r="J54" s="1559">
        <v>32</v>
      </c>
      <c r="K54" s="1462">
        <f>J54/G54*100</f>
        <v>99.68847352024922</v>
      </c>
    </row>
    <row r="55" spans="1:11" s="1458" customFormat="1" ht="15.75">
      <c r="A55" s="1557" t="s">
        <v>13</v>
      </c>
      <c r="B55" s="1478" t="s">
        <v>156</v>
      </c>
      <c r="C55" s="1546" t="s">
        <v>157</v>
      </c>
      <c r="D55" s="1561">
        <v>12.2</v>
      </c>
      <c r="E55" s="1561">
        <v>12.5</v>
      </c>
      <c r="F55" s="1561">
        <v>12.2</v>
      </c>
      <c r="G55" s="1561">
        <v>12.5</v>
      </c>
      <c r="H55" s="1462">
        <f>G55/D55*100</f>
        <v>102.45901639344264</v>
      </c>
      <c r="I55" s="1462">
        <f>G55/E55*100</f>
        <v>100</v>
      </c>
      <c r="J55" s="1561">
        <v>12.5</v>
      </c>
      <c r="K55" s="1462">
        <f>J55/G55*100</f>
        <v>100</v>
      </c>
    </row>
    <row r="56" spans="1:11" s="1458" customFormat="1" ht="31.5">
      <c r="A56" s="1557" t="s">
        <v>13</v>
      </c>
      <c r="B56" s="1478" t="s">
        <v>158</v>
      </c>
      <c r="C56" s="1546" t="s">
        <v>21</v>
      </c>
      <c r="D56" s="1562">
        <v>86.9</v>
      </c>
      <c r="E56" s="1562">
        <v>83.8</v>
      </c>
      <c r="F56" s="1562">
        <v>90</v>
      </c>
      <c r="G56" s="1563">
        <v>90</v>
      </c>
      <c r="H56" s="1564">
        <f>G56-D56</f>
        <v>3.0999999999999943</v>
      </c>
      <c r="I56" s="1564">
        <f>G56-E56</f>
        <v>6.200000000000003</v>
      </c>
      <c r="J56" s="1564">
        <v>96.9</v>
      </c>
      <c r="K56" s="1564">
        <f>J56-G56</f>
        <v>6.900000000000006</v>
      </c>
    </row>
    <row r="57" spans="1:11" ht="15.75">
      <c r="A57" s="1557" t="s">
        <v>13</v>
      </c>
      <c r="B57" s="1478" t="s">
        <v>159</v>
      </c>
      <c r="C57" s="1546" t="s">
        <v>21</v>
      </c>
      <c r="D57" s="1565">
        <v>55.4</v>
      </c>
      <c r="E57" s="1565">
        <v>62.3</v>
      </c>
      <c r="F57" s="1565">
        <v>55.4</v>
      </c>
      <c r="G57" s="1565">
        <v>63.1</v>
      </c>
      <c r="H57" s="1564">
        <f>G57-D57</f>
        <v>7.700000000000003</v>
      </c>
      <c r="I57" s="1564">
        <f>G57-E57</f>
        <v>0.8000000000000043</v>
      </c>
      <c r="J57" s="1566">
        <v>70.8</v>
      </c>
      <c r="K57" s="1564">
        <f>J57-G57</f>
        <v>7.699999999999996</v>
      </c>
    </row>
    <row r="58" spans="1:11" ht="15.75">
      <c r="A58" s="1567" t="s">
        <v>13</v>
      </c>
      <c r="B58" s="1568" t="s">
        <v>160</v>
      </c>
      <c r="C58" s="1546" t="s">
        <v>161</v>
      </c>
      <c r="D58" s="1569">
        <v>31.7</v>
      </c>
      <c r="E58" s="1570">
        <v>23</v>
      </c>
      <c r="F58" s="1569">
        <v>32.2</v>
      </c>
      <c r="G58" s="1569">
        <v>30.5</v>
      </c>
      <c r="H58" s="1564">
        <f>G58-D58</f>
        <v>-1.1999999999999993</v>
      </c>
      <c r="I58" s="1564">
        <f>G58-E58</f>
        <v>7.5</v>
      </c>
      <c r="J58" s="1570">
        <v>23</v>
      </c>
      <c r="K58" s="1564">
        <f>J58-G58</f>
        <v>-7.5</v>
      </c>
    </row>
    <row r="59" spans="1:11" ht="15.75">
      <c r="A59" s="1557" t="s">
        <v>13</v>
      </c>
      <c r="B59" s="1568" t="s">
        <v>474</v>
      </c>
      <c r="C59" s="1546" t="s">
        <v>161</v>
      </c>
      <c r="D59" s="1571">
        <v>37.7</v>
      </c>
      <c r="E59" s="1572">
        <v>32</v>
      </c>
      <c r="F59" s="1572">
        <v>36</v>
      </c>
      <c r="G59" s="1572">
        <v>36.5</v>
      </c>
      <c r="H59" s="1564">
        <f>G59-D59</f>
        <v>-1.2000000000000028</v>
      </c>
      <c r="I59" s="1564">
        <f>G59-E59</f>
        <v>4.5</v>
      </c>
      <c r="J59" s="1572">
        <v>32</v>
      </c>
      <c r="K59" s="1564">
        <f>J59-G59</f>
        <v>-4.5</v>
      </c>
    </row>
    <row r="60" spans="1:11" ht="31.5">
      <c r="A60" s="1567" t="s">
        <v>13</v>
      </c>
      <c r="B60" s="1478" t="s">
        <v>162</v>
      </c>
      <c r="C60" s="1546" t="s">
        <v>21</v>
      </c>
      <c r="D60" s="1573">
        <v>17.6</v>
      </c>
      <c r="E60" s="1573">
        <v>17.1</v>
      </c>
      <c r="F60" s="1573">
        <v>16.6</v>
      </c>
      <c r="G60" s="1573">
        <v>16.6</v>
      </c>
      <c r="H60" s="1564">
        <f>G60-D60</f>
        <v>-1</v>
      </c>
      <c r="I60" s="1564">
        <f>G60-E60</f>
        <v>-0.5</v>
      </c>
      <c r="J60" s="1573">
        <v>16.2</v>
      </c>
      <c r="K60" s="1564">
        <f>J60-G60</f>
        <v>-0.40000000000000213</v>
      </c>
    </row>
    <row r="61" spans="1:11" ht="31.5">
      <c r="A61" s="1567" t="s">
        <v>13</v>
      </c>
      <c r="B61" s="1460" t="s">
        <v>435</v>
      </c>
      <c r="C61" s="1546" t="s">
        <v>163</v>
      </c>
      <c r="D61" s="1468">
        <v>87</v>
      </c>
      <c r="E61" s="1468">
        <v>90</v>
      </c>
      <c r="F61" s="1468"/>
      <c r="G61" s="1468">
        <v>93</v>
      </c>
      <c r="H61" s="1484">
        <f>G61/D61*100</f>
        <v>106.89655172413792</v>
      </c>
      <c r="I61" s="1574">
        <f>G61/E61*100</f>
        <v>103.33333333333334</v>
      </c>
      <c r="J61" s="1468">
        <v>98</v>
      </c>
      <c r="K61" s="1484">
        <f>J61/G61*100</f>
        <v>105.3763440860215</v>
      </c>
    </row>
    <row r="62" spans="1:11" ht="31.5">
      <c r="A62" s="1557" t="s">
        <v>13</v>
      </c>
      <c r="B62" s="1460" t="s">
        <v>436</v>
      </c>
      <c r="C62" s="1575" t="s">
        <v>21</v>
      </c>
      <c r="D62" s="1574">
        <f>D61/130*100</f>
        <v>66.92307692307692</v>
      </c>
      <c r="E62" s="1574">
        <f>E61/130*100</f>
        <v>69.23076923076923</v>
      </c>
      <c r="F62" s="1576"/>
      <c r="G62" s="1574">
        <f>G61/130*100</f>
        <v>71.53846153846153</v>
      </c>
      <c r="H62" s="1574">
        <f>G62-D62</f>
        <v>4.615384615384613</v>
      </c>
      <c r="I62" s="1574">
        <f>G62-E62</f>
        <v>2.3076923076923066</v>
      </c>
      <c r="J62" s="1574">
        <f>J61/130*100</f>
        <v>75.38461538461539</v>
      </c>
      <c r="K62" s="1484">
        <f>J62-G62</f>
        <v>3.846153846153854</v>
      </c>
    </row>
    <row r="63" spans="2:3" ht="15.75">
      <c r="B63" s="212"/>
      <c r="C63" s="213"/>
    </row>
    <row r="64" spans="2:3" ht="15.75">
      <c r="B64" s="212"/>
      <c r="C64" s="213"/>
    </row>
    <row r="65" spans="2:3" ht="15.75">
      <c r="B65" s="212"/>
      <c r="C65" s="213"/>
    </row>
    <row r="66" spans="2:3" ht="15.75">
      <c r="B66" s="212"/>
      <c r="C66" s="213"/>
    </row>
    <row r="67" spans="2:3" ht="15.75">
      <c r="B67" s="212"/>
      <c r="C67" s="213"/>
    </row>
    <row r="68" spans="2:3" ht="15.75">
      <c r="B68" s="212"/>
      <c r="C68" s="213"/>
    </row>
    <row r="69" ht="15.75">
      <c r="C69" s="213"/>
    </row>
  </sheetData>
  <sheetProtection/>
  <mergeCells count="11">
    <mergeCell ref="A1:K1"/>
    <mergeCell ref="A2:K2"/>
    <mergeCell ref="A3:K3"/>
    <mergeCell ref="A5:A6"/>
    <mergeCell ref="B5:B6"/>
    <mergeCell ref="C5:C6"/>
    <mergeCell ref="D5:D6"/>
    <mergeCell ref="E5:I5"/>
    <mergeCell ref="J5:J6"/>
    <mergeCell ref="K5:K6"/>
    <mergeCell ref="L33:L34"/>
  </mergeCells>
  <printOptions horizontalCentered="1"/>
  <pageMargins left="0.3937007874015748" right="0.1968503937007874" top="0.42" bottom="0.34" header="0.31496062992125984" footer="0.2"/>
  <pageSetup firstPageNumber="1" useFirstPageNumber="1" fitToHeight="0" fitToWidth="1" horizontalDpi="600" verticalDpi="600" orientation="landscape" paperSize="9" r:id="rId1"/>
  <headerFooter differentFirst="1">
    <oddFooter>&amp;R&amp;P</oddFooter>
  </headerFooter>
</worksheet>
</file>

<file path=xl/worksheets/sheet6.xml><?xml version="1.0" encoding="utf-8"?>
<worksheet xmlns="http://schemas.openxmlformats.org/spreadsheetml/2006/main" xmlns:r="http://schemas.openxmlformats.org/officeDocument/2006/relationships">
  <sheetPr>
    <tabColor rgb="FFFF0000"/>
  </sheetPr>
  <dimension ref="A1:IV88"/>
  <sheetViews>
    <sheetView view="pageBreakPreview" zoomScaleSheetLayoutView="100" zoomScalePageLayoutView="0" workbookViewId="0" topLeftCell="A1">
      <pane xSplit="2" ySplit="7" topLeftCell="C71" activePane="bottomRight" state="frozen"/>
      <selection pane="topLeft" activeCell="O21" sqref="O21"/>
      <selection pane="topRight" activeCell="O21" sqref="O21"/>
      <selection pane="bottomLeft" activeCell="O21" sqref="O21"/>
      <selection pane="bottomRight" activeCell="E62" sqref="E62"/>
    </sheetView>
  </sheetViews>
  <sheetFormatPr defaultColWidth="8.625" defaultRowHeight="15.75"/>
  <cols>
    <col min="1" max="1" width="4.125" style="346" customWidth="1"/>
    <col min="2" max="2" width="23.375" style="402" customWidth="1"/>
    <col min="3" max="3" width="7.625" style="346" customWidth="1"/>
    <col min="4" max="6" width="7.75390625" style="346" customWidth="1"/>
    <col min="7" max="16" width="6.875" style="346" customWidth="1"/>
    <col min="17" max="17" width="6.125" style="346" customWidth="1"/>
    <col min="18" max="18" width="6.00390625" style="346" customWidth="1"/>
    <col min="19" max="16384" width="8.625" style="346" customWidth="1"/>
  </cols>
  <sheetData>
    <row r="1" spans="1:2" s="345" customFormat="1" ht="16.5" customHeight="1">
      <c r="A1" s="343" t="s">
        <v>587</v>
      </c>
      <c r="B1" s="344"/>
    </row>
    <row r="2" spans="1:18" s="348" customFormat="1" ht="19.5" customHeight="1">
      <c r="A2" s="1338" t="s">
        <v>1198</v>
      </c>
      <c r="B2" s="1338"/>
      <c r="C2" s="1338"/>
      <c r="D2" s="1338"/>
      <c r="E2" s="1338"/>
      <c r="F2" s="1338"/>
      <c r="G2" s="1338"/>
      <c r="H2" s="1338"/>
      <c r="I2" s="1338"/>
      <c r="J2" s="1338"/>
      <c r="K2" s="1338"/>
      <c r="L2" s="1338"/>
      <c r="M2" s="1338"/>
      <c r="N2" s="1338"/>
      <c r="O2" s="1338"/>
      <c r="P2" s="1338"/>
      <c r="Q2" s="1338"/>
      <c r="R2" s="1338"/>
    </row>
    <row r="3" spans="1:256" s="347" customFormat="1" ht="21.75" customHeight="1">
      <c r="A3" s="1339" t="s">
        <v>1199</v>
      </c>
      <c r="B3" s="1339"/>
      <c r="C3" s="1339"/>
      <c r="D3" s="1339"/>
      <c r="E3" s="1339"/>
      <c r="F3" s="1339"/>
      <c r="G3" s="1339"/>
      <c r="H3" s="1339"/>
      <c r="I3" s="1339"/>
      <c r="J3" s="1339"/>
      <c r="K3" s="1339"/>
      <c r="L3" s="1339"/>
      <c r="M3" s="1339"/>
      <c r="N3" s="1339"/>
      <c r="O3" s="1339"/>
      <c r="P3" s="1339"/>
      <c r="Q3" s="1339"/>
      <c r="R3" s="1339"/>
      <c r="Y3" s="1340" t="s">
        <v>588</v>
      </c>
      <c r="Z3" s="1340"/>
      <c r="AA3" s="1340"/>
      <c r="AB3" s="1340"/>
      <c r="AC3" s="1340"/>
      <c r="AD3" s="1340"/>
      <c r="AE3" s="1340"/>
      <c r="AF3" s="1340"/>
      <c r="AG3" s="1340" t="s">
        <v>588</v>
      </c>
      <c r="AH3" s="1340"/>
      <c r="AI3" s="1340"/>
      <c r="AJ3" s="1340"/>
      <c r="AK3" s="1340"/>
      <c r="AL3" s="1340"/>
      <c r="AM3" s="1340"/>
      <c r="AN3" s="1340"/>
      <c r="AO3" s="1340" t="s">
        <v>588</v>
      </c>
      <c r="AP3" s="1340"/>
      <c r="AQ3" s="1340"/>
      <c r="AR3" s="1340"/>
      <c r="AS3" s="1340"/>
      <c r="AT3" s="1340"/>
      <c r="AU3" s="1340"/>
      <c r="AV3" s="1340"/>
      <c r="AW3" s="1340" t="s">
        <v>588</v>
      </c>
      <c r="AX3" s="1340"/>
      <c r="AY3" s="1340"/>
      <c r="AZ3" s="1340"/>
      <c r="BA3" s="1340"/>
      <c r="BB3" s="1340"/>
      <c r="BC3" s="1340"/>
      <c r="BD3" s="1340"/>
      <c r="BE3" s="1340" t="s">
        <v>588</v>
      </c>
      <c r="BF3" s="1340"/>
      <c r="BG3" s="1340"/>
      <c r="BH3" s="1340"/>
      <c r="BI3" s="1340"/>
      <c r="BJ3" s="1340"/>
      <c r="BK3" s="1340"/>
      <c r="BL3" s="1340"/>
      <c r="BM3" s="1340" t="s">
        <v>588</v>
      </c>
      <c r="BN3" s="1340"/>
      <c r="BO3" s="1340"/>
      <c r="BP3" s="1340"/>
      <c r="BQ3" s="1340"/>
      <c r="BR3" s="1340"/>
      <c r="BS3" s="1340"/>
      <c r="BT3" s="1340"/>
      <c r="BU3" s="1340" t="s">
        <v>588</v>
      </c>
      <c r="BV3" s="1340"/>
      <c r="BW3" s="1340"/>
      <c r="BX3" s="1340"/>
      <c r="BY3" s="1340"/>
      <c r="BZ3" s="1340"/>
      <c r="CA3" s="1340"/>
      <c r="CB3" s="1340"/>
      <c r="CC3" s="1340" t="s">
        <v>588</v>
      </c>
      <c r="CD3" s="1340"/>
      <c r="CE3" s="1340"/>
      <c r="CF3" s="1340"/>
      <c r="CG3" s="1340"/>
      <c r="CH3" s="1340"/>
      <c r="CI3" s="1340"/>
      <c r="CJ3" s="1340"/>
      <c r="CK3" s="1340" t="s">
        <v>588</v>
      </c>
      <c r="CL3" s="1340"/>
      <c r="CM3" s="1340"/>
      <c r="CN3" s="1340"/>
      <c r="CO3" s="1340"/>
      <c r="CP3" s="1340"/>
      <c r="CQ3" s="1340"/>
      <c r="CR3" s="1340"/>
      <c r="CS3" s="1340" t="s">
        <v>588</v>
      </c>
      <c r="CT3" s="1340"/>
      <c r="CU3" s="1340"/>
      <c r="CV3" s="1340"/>
      <c r="CW3" s="1340"/>
      <c r="CX3" s="1340"/>
      <c r="CY3" s="1340"/>
      <c r="CZ3" s="1340"/>
      <c r="DA3" s="1340" t="s">
        <v>588</v>
      </c>
      <c r="DB3" s="1340"/>
      <c r="DC3" s="1340"/>
      <c r="DD3" s="1340"/>
      <c r="DE3" s="1340"/>
      <c r="DF3" s="1340"/>
      <c r="DG3" s="1340"/>
      <c r="DH3" s="1340"/>
      <c r="DI3" s="1340" t="s">
        <v>588</v>
      </c>
      <c r="DJ3" s="1340"/>
      <c r="DK3" s="1340"/>
      <c r="DL3" s="1340"/>
      <c r="DM3" s="1340"/>
      <c r="DN3" s="1340"/>
      <c r="DO3" s="1340"/>
      <c r="DP3" s="1340"/>
      <c r="DQ3" s="1340" t="s">
        <v>588</v>
      </c>
      <c r="DR3" s="1340"/>
      <c r="DS3" s="1340"/>
      <c r="DT3" s="1340"/>
      <c r="DU3" s="1340"/>
      <c r="DV3" s="1340"/>
      <c r="DW3" s="1340"/>
      <c r="DX3" s="1340"/>
      <c r="DY3" s="1340" t="s">
        <v>588</v>
      </c>
      <c r="DZ3" s="1340"/>
      <c r="EA3" s="1340"/>
      <c r="EB3" s="1340"/>
      <c r="EC3" s="1340"/>
      <c r="ED3" s="1340"/>
      <c r="EE3" s="1340"/>
      <c r="EF3" s="1340"/>
      <c r="EG3" s="1340" t="s">
        <v>588</v>
      </c>
      <c r="EH3" s="1340"/>
      <c r="EI3" s="1340"/>
      <c r="EJ3" s="1340"/>
      <c r="EK3" s="1340"/>
      <c r="EL3" s="1340"/>
      <c r="EM3" s="1340"/>
      <c r="EN3" s="1340"/>
      <c r="EO3" s="1340" t="s">
        <v>588</v>
      </c>
      <c r="EP3" s="1340"/>
      <c r="EQ3" s="1340"/>
      <c r="ER3" s="1340"/>
      <c r="ES3" s="1340"/>
      <c r="ET3" s="1340"/>
      <c r="EU3" s="1340"/>
      <c r="EV3" s="1340"/>
      <c r="EW3" s="1340" t="s">
        <v>588</v>
      </c>
      <c r="EX3" s="1340"/>
      <c r="EY3" s="1340"/>
      <c r="EZ3" s="1340"/>
      <c r="FA3" s="1340"/>
      <c r="FB3" s="1340"/>
      <c r="FC3" s="1340"/>
      <c r="FD3" s="1340"/>
      <c r="FE3" s="1340" t="s">
        <v>588</v>
      </c>
      <c r="FF3" s="1340"/>
      <c r="FG3" s="1340"/>
      <c r="FH3" s="1340"/>
      <c r="FI3" s="1340"/>
      <c r="FJ3" s="1340"/>
      <c r="FK3" s="1340"/>
      <c r="FL3" s="1340"/>
      <c r="FM3" s="1340" t="s">
        <v>588</v>
      </c>
      <c r="FN3" s="1340"/>
      <c r="FO3" s="1340"/>
      <c r="FP3" s="1340"/>
      <c r="FQ3" s="1340"/>
      <c r="FR3" s="1340"/>
      <c r="FS3" s="1340"/>
      <c r="FT3" s="1340"/>
      <c r="FU3" s="1340" t="s">
        <v>588</v>
      </c>
      <c r="FV3" s="1340"/>
      <c r="FW3" s="1340"/>
      <c r="FX3" s="1340"/>
      <c r="FY3" s="1340"/>
      <c r="FZ3" s="1340"/>
      <c r="GA3" s="1340"/>
      <c r="GB3" s="1340"/>
      <c r="GC3" s="1340" t="s">
        <v>588</v>
      </c>
      <c r="GD3" s="1340"/>
      <c r="GE3" s="1340"/>
      <c r="GF3" s="1340"/>
      <c r="GG3" s="1340"/>
      <c r="GH3" s="1340"/>
      <c r="GI3" s="1340"/>
      <c r="GJ3" s="1340"/>
      <c r="GK3" s="1340" t="s">
        <v>588</v>
      </c>
      <c r="GL3" s="1340"/>
      <c r="GM3" s="1340"/>
      <c r="GN3" s="1340"/>
      <c r="GO3" s="1340"/>
      <c r="GP3" s="1340"/>
      <c r="GQ3" s="1340"/>
      <c r="GR3" s="1340"/>
      <c r="GS3" s="1340" t="s">
        <v>588</v>
      </c>
      <c r="GT3" s="1340"/>
      <c r="GU3" s="1340"/>
      <c r="GV3" s="1340"/>
      <c r="GW3" s="1340"/>
      <c r="GX3" s="1340"/>
      <c r="GY3" s="1340"/>
      <c r="GZ3" s="1340"/>
      <c r="HA3" s="1340" t="s">
        <v>588</v>
      </c>
      <c r="HB3" s="1340"/>
      <c r="HC3" s="1340"/>
      <c r="HD3" s="1340"/>
      <c r="HE3" s="1340"/>
      <c r="HF3" s="1340"/>
      <c r="HG3" s="1340"/>
      <c r="HH3" s="1340"/>
      <c r="HI3" s="1340" t="s">
        <v>588</v>
      </c>
      <c r="HJ3" s="1340"/>
      <c r="HK3" s="1340"/>
      <c r="HL3" s="1340"/>
      <c r="HM3" s="1340"/>
      <c r="HN3" s="1340"/>
      <c r="HO3" s="1340"/>
      <c r="HP3" s="1340"/>
      <c r="HQ3" s="1340" t="s">
        <v>588</v>
      </c>
      <c r="HR3" s="1340"/>
      <c r="HS3" s="1340"/>
      <c r="HT3" s="1340"/>
      <c r="HU3" s="1340"/>
      <c r="HV3" s="1340"/>
      <c r="HW3" s="1340"/>
      <c r="HX3" s="1340"/>
      <c r="HY3" s="1340" t="s">
        <v>588</v>
      </c>
      <c r="HZ3" s="1340"/>
      <c r="IA3" s="1340"/>
      <c r="IB3" s="1340"/>
      <c r="IC3" s="1340"/>
      <c r="ID3" s="1340"/>
      <c r="IE3" s="1340"/>
      <c r="IF3" s="1340"/>
      <c r="IG3" s="1340" t="s">
        <v>588</v>
      </c>
      <c r="IH3" s="1340"/>
      <c r="II3" s="1340"/>
      <c r="IJ3" s="1340"/>
      <c r="IK3" s="1340"/>
      <c r="IL3" s="1340"/>
      <c r="IM3" s="1340"/>
      <c r="IN3" s="1340"/>
      <c r="IO3" s="1340" t="s">
        <v>588</v>
      </c>
      <c r="IP3" s="1340"/>
      <c r="IQ3" s="1340"/>
      <c r="IR3" s="1340"/>
      <c r="IS3" s="1340"/>
      <c r="IT3" s="1340"/>
      <c r="IU3" s="1340"/>
      <c r="IV3" s="1340"/>
    </row>
    <row r="4" spans="1:16" ht="13.5" customHeight="1">
      <c r="A4" s="1344"/>
      <c r="B4" s="1344"/>
      <c r="C4" s="1344"/>
      <c r="D4" s="1344"/>
      <c r="E4" s="1344"/>
      <c r="F4" s="1344"/>
      <c r="G4" s="1344"/>
      <c r="H4" s="1344"/>
      <c r="I4" s="1344"/>
      <c r="J4" s="1344"/>
      <c r="K4" s="1344"/>
      <c r="L4" s="1344"/>
      <c r="M4" s="1344"/>
      <c r="N4" s="1344"/>
      <c r="O4" s="1344"/>
      <c r="P4" s="1344"/>
    </row>
    <row r="5" spans="1:18" s="348" customFormat="1" ht="19.5" customHeight="1">
      <c r="A5" s="1345" t="s">
        <v>589</v>
      </c>
      <c r="B5" s="1346" t="s">
        <v>590</v>
      </c>
      <c r="C5" s="1345" t="s">
        <v>591</v>
      </c>
      <c r="D5" s="1345" t="s">
        <v>1180</v>
      </c>
      <c r="E5" s="1345" t="s">
        <v>1177</v>
      </c>
      <c r="F5" s="1345" t="s">
        <v>1174</v>
      </c>
      <c r="G5" s="1341" t="s">
        <v>592</v>
      </c>
      <c r="H5" s="1341"/>
      <c r="I5" s="1341"/>
      <c r="J5" s="1341"/>
      <c r="K5" s="1341"/>
      <c r="L5" s="1341"/>
      <c r="M5" s="1341"/>
      <c r="N5" s="1341"/>
      <c r="O5" s="1341"/>
      <c r="P5" s="1341"/>
      <c r="Q5" s="1342" t="s">
        <v>527</v>
      </c>
      <c r="R5" s="1342"/>
    </row>
    <row r="6" spans="1:18" ht="15.75" customHeight="1">
      <c r="A6" s="1345"/>
      <c r="B6" s="1347"/>
      <c r="C6" s="1345"/>
      <c r="D6" s="1345"/>
      <c r="E6" s="1345"/>
      <c r="F6" s="1345"/>
      <c r="G6" s="1343" t="s">
        <v>593</v>
      </c>
      <c r="H6" s="1343" t="s">
        <v>594</v>
      </c>
      <c r="I6" s="1343" t="s">
        <v>530</v>
      </c>
      <c r="J6" s="1343" t="s">
        <v>595</v>
      </c>
      <c r="K6" s="1343" t="s">
        <v>596</v>
      </c>
      <c r="L6" s="1343" t="s">
        <v>597</v>
      </c>
      <c r="M6" s="1343" t="s">
        <v>598</v>
      </c>
      <c r="N6" s="1343" t="s">
        <v>599</v>
      </c>
      <c r="O6" s="1343" t="s">
        <v>600</v>
      </c>
      <c r="P6" s="1343" t="s">
        <v>601</v>
      </c>
      <c r="Q6" s="1342" t="s">
        <v>602</v>
      </c>
      <c r="R6" s="1342" t="s">
        <v>1178</v>
      </c>
    </row>
    <row r="7" spans="1:18" ht="32.25" customHeight="1">
      <c r="A7" s="1345"/>
      <c r="B7" s="1348"/>
      <c r="C7" s="1345"/>
      <c r="D7" s="1345"/>
      <c r="E7" s="1345"/>
      <c r="F7" s="1345"/>
      <c r="G7" s="1343"/>
      <c r="H7" s="1343"/>
      <c r="I7" s="1343"/>
      <c r="J7" s="1343"/>
      <c r="K7" s="1343"/>
      <c r="L7" s="1343"/>
      <c r="M7" s="1343"/>
      <c r="N7" s="1343"/>
      <c r="O7" s="1343"/>
      <c r="P7" s="1343"/>
      <c r="Q7" s="1342"/>
      <c r="R7" s="1342"/>
    </row>
    <row r="8" spans="1:18" s="351" customFormat="1" ht="18" customHeight="1">
      <c r="A8" s="349"/>
      <c r="B8" s="349" t="s">
        <v>603</v>
      </c>
      <c r="C8" s="349" t="s">
        <v>604</v>
      </c>
      <c r="D8" s="350">
        <f aca="true" t="shared" si="0" ref="D8:P8">SUM(D10:D11)</f>
        <v>566953</v>
      </c>
      <c r="E8" s="350">
        <f t="shared" si="0"/>
        <v>576658</v>
      </c>
      <c r="F8" s="350">
        <f t="shared" si="0"/>
        <v>586442</v>
      </c>
      <c r="G8" s="350">
        <f t="shared" si="0"/>
        <v>59633</v>
      </c>
      <c r="H8" s="350">
        <f t="shared" si="0"/>
        <v>11509</v>
      </c>
      <c r="I8" s="350">
        <f t="shared" si="0"/>
        <v>116875</v>
      </c>
      <c r="J8" s="350">
        <f t="shared" si="0"/>
        <v>84734</v>
      </c>
      <c r="K8" s="350">
        <f t="shared" si="0"/>
        <v>48181</v>
      </c>
      <c r="L8" s="350">
        <f t="shared" si="0"/>
        <v>54338</v>
      </c>
      <c r="M8" s="350">
        <f t="shared" si="0"/>
        <v>48173</v>
      </c>
      <c r="N8" s="350">
        <f t="shared" si="0"/>
        <v>43871</v>
      </c>
      <c r="O8" s="350">
        <f t="shared" si="0"/>
        <v>65367</v>
      </c>
      <c r="P8" s="350">
        <f t="shared" si="0"/>
        <v>53761</v>
      </c>
      <c r="Q8" s="512">
        <f aca="true" t="shared" si="1" ref="Q8:R11">E8/D8*100</f>
        <v>101.71178210539497</v>
      </c>
      <c r="R8" s="512">
        <f t="shared" si="1"/>
        <v>101.6966728979742</v>
      </c>
    </row>
    <row r="9" spans="1:19" s="348" customFormat="1" ht="16.5" customHeight="1">
      <c r="A9" s="352"/>
      <c r="B9" s="353" t="s">
        <v>605</v>
      </c>
      <c r="C9" s="352"/>
      <c r="D9" s="354">
        <v>283167</v>
      </c>
      <c r="E9" s="354">
        <v>287738</v>
      </c>
      <c r="F9" s="354">
        <f>SUM(G9:P9)</f>
        <v>292740</v>
      </c>
      <c r="G9" s="355">
        <v>29853</v>
      </c>
      <c r="H9" s="355">
        <v>5827</v>
      </c>
      <c r="I9" s="355">
        <v>58623</v>
      </c>
      <c r="J9" s="355">
        <v>42431</v>
      </c>
      <c r="K9" s="355">
        <v>24139</v>
      </c>
      <c r="L9" s="355">
        <v>27169</v>
      </c>
      <c r="M9" s="355">
        <v>24000</v>
      </c>
      <c r="N9" s="355">
        <v>21868</v>
      </c>
      <c r="O9" s="355">
        <v>32093</v>
      </c>
      <c r="P9" s="355">
        <v>26737</v>
      </c>
      <c r="Q9" s="513">
        <f t="shared" si="1"/>
        <v>101.61424177252292</v>
      </c>
      <c r="R9" s="513">
        <f t="shared" si="1"/>
        <v>101.73838700484468</v>
      </c>
      <c r="S9" s="356"/>
    </row>
    <row r="10" spans="1:21" s="348" customFormat="1" ht="16.5" customHeight="1">
      <c r="A10" s="352"/>
      <c r="B10" s="353" t="s">
        <v>606</v>
      </c>
      <c r="C10" s="352" t="s">
        <v>604</v>
      </c>
      <c r="D10" s="355">
        <v>85581</v>
      </c>
      <c r="E10" s="354">
        <v>87179</v>
      </c>
      <c r="F10" s="354">
        <f>SUM(G10:P10)</f>
        <v>88795</v>
      </c>
      <c r="G10" s="355">
        <v>56158</v>
      </c>
      <c r="H10" s="355">
        <v>6175</v>
      </c>
      <c r="I10" s="355">
        <v>0</v>
      </c>
      <c r="J10" s="354">
        <v>9025</v>
      </c>
      <c r="K10" s="355">
        <v>5229</v>
      </c>
      <c r="L10" s="355">
        <v>3970</v>
      </c>
      <c r="M10" s="357">
        <v>4805</v>
      </c>
      <c r="N10" s="354">
        <v>0</v>
      </c>
      <c r="O10" s="354">
        <v>3433</v>
      </c>
      <c r="P10" s="354">
        <v>0</v>
      </c>
      <c r="Q10" s="513">
        <f t="shared" si="1"/>
        <v>101.86723688669215</v>
      </c>
      <c r="R10" s="513">
        <f t="shared" si="1"/>
        <v>101.85365741749732</v>
      </c>
      <c r="U10" s="358"/>
    </row>
    <row r="11" spans="1:21" s="359" customFormat="1" ht="16.5" customHeight="1">
      <c r="A11" s="352"/>
      <c r="B11" s="353" t="s">
        <v>607</v>
      </c>
      <c r="C11" s="352" t="s">
        <v>604</v>
      </c>
      <c r="D11" s="354">
        <v>481372</v>
      </c>
      <c r="E11" s="354">
        <v>489479</v>
      </c>
      <c r="F11" s="354">
        <f>SUM(G11:P11)</f>
        <v>497647</v>
      </c>
      <c r="G11" s="354">
        <v>3475</v>
      </c>
      <c r="H11" s="354">
        <v>5334</v>
      </c>
      <c r="I11" s="354">
        <v>116875</v>
      </c>
      <c r="J11" s="354">
        <v>75709</v>
      </c>
      <c r="K11" s="354">
        <v>42952</v>
      </c>
      <c r="L11" s="354">
        <v>50368</v>
      </c>
      <c r="M11" s="354">
        <v>43368</v>
      </c>
      <c r="N11" s="354">
        <v>43871</v>
      </c>
      <c r="O11" s="354">
        <v>61934</v>
      </c>
      <c r="P11" s="354">
        <v>53761</v>
      </c>
      <c r="Q11" s="513">
        <f t="shared" si="1"/>
        <v>101.68414448700798</v>
      </c>
      <c r="R11" s="513">
        <f t="shared" si="1"/>
        <v>101.66871306021301</v>
      </c>
      <c r="U11" s="360"/>
    </row>
    <row r="12" spans="1:18" s="364" customFormat="1" ht="16.5" customHeight="1">
      <c r="A12" s="1024" t="s">
        <v>107</v>
      </c>
      <c r="B12" s="361" t="s">
        <v>1200</v>
      </c>
      <c r="C12" s="362"/>
      <c r="D12" s="363"/>
      <c r="E12" s="362"/>
      <c r="F12" s="374"/>
      <c r="G12" s="362"/>
      <c r="H12" s="362"/>
      <c r="I12" s="362"/>
      <c r="J12" s="362"/>
      <c r="K12" s="362"/>
      <c r="L12" s="362"/>
      <c r="M12" s="362"/>
      <c r="N12" s="362"/>
      <c r="O12" s="362"/>
      <c r="P12" s="363"/>
      <c r="Q12" s="513"/>
      <c r="R12" s="513"/>
    </row>
    <row r="13" spans="1:18" s="348" customFormat="1" ht="15.75" customHeight="1">
      <c r="A13" s="352">
        <v>1</v>
      </c>
      <c r="B13" s="365" t="s">
        <v>1201</v>
      </c>
      <c r="C13" s="352" t="s">
        <v>608</v>
      </c>
      <c r="D13" s="354">
        <v>331200</v>
      </c>
      <c r="E13" s="354">
        <v>337430</v>
      </c>
      <c r="F13" s="354">
        <f>SUM(G13:P13)</f>
        <v>343154.7232</v>
      </c>
      <c r="G13" s="354">
        <v>35147.6902</v>
      </c>
      <c r="H13" s="354">
        <v>6732.764999999999</v>
      </c>
      <c r="I13" s="354">
        <v>68956.25</v>
      </c>
      <c r="J13" s="354">
        <v>49993.06</v>
      </c>
      <c r="K13" s="354">
        <v>28426.789999999997</v>
      </c>
      <c r="L13" s="354">
        <v>31516.039999999997</v>
      </c>
      <c r="M13" s="354">
        <v>27940.339999999997</v>
      </c>
      <c r="N13" s="354">
        <v>25401.308999999997</v>
      </c>
      <c r="O13" s="354">
        <v>37912.86</v>
      </c>
      <c r="P13" s="354">
        <v>31127.619</v>
      </c>
      <c r="Q13" s="513">
        <f>E13/D13*100</f>
        <v>101.88103864734299</v>
      </c>
      <c r="R13" s="513">
        <f>F13/E13*100</f>
        <v>101.69656616187062</v>
      </c>
    </row>
    <row r="14" spans="1:18" s="369" customFormat="1" ht="15.75" customHeight="1">
      <c r="A14" s="366"/>
      <c r="B14" s="367" t="s">
        <v>609</v>
      </c>
      <c r="C14" s="366" t="s">
        <v>21</v>
      </c>
      <c r="D14" s="368">
        <f>D13/D8*100</f>
        <v>58.41754078380394</v>
      </c>
      <c r="E14" s="368">
        <f>E13/E8*100</f>
        <v>58.51475224483143</v>
      </c>
      <c r="F14" s="368">
        <f>F13/F8*100</f>
        <v>58.51469083046575</v>
      </c>
      <c r="G14" s="368">
        <v>58.94</v>
      </c>
      <c r="H14" s="368">
        <v>58.5</v>
      </c>
      <c r="I14" s="368">
        <v>59</v>
      </c>
      <c r="J14" s="368">
        <v>59</v>
      </c>
      <c r="K14" s="368">
        <v>59</v>
      </c>
      <c r="L14" s="368">
        <v>58</v>
      </c>
      <c r="M14" s="368">
        <v>58</v>
      </c>
      <c r="N14" s="368">
        <v>57.9</v>
      </c>
      <c r="O14" s="368">
        <v>58</v>
      </c>
      <c r="P14" s="368">
        <v>57.9</v>
      </c>
      <c r="Q14" s="513">
        <f>E14-D14</f>
        <v>0.09721146102748435</v>
      </c>
      <c r="R14" s="513">
        <f>F14-E14</f>
        <v>-6.141436567475012E-05</v>
      </c>
    </row>
    <row r="15" spans="1:18" s="348" customFormat="1" ht="30.75" customHeight="1" hidden="1">
      <c r="A15" s="352"/>
      <c r="B15" s="370" t="s">
        <v>610</v>
      </c>
      <c r="C15" s="352" t="s">
        <v>608</v>
      </c>
      <c r="D15" s="354"/>
      <c r="E15" s="354"/>
      <c r="F15" s="374"/>
      <c r="G15" s="355"/>
      <c r="H15" s="355"/>
      <c r="I15" s="357"/>
      <c r="J15" s="355"/>
      <c r="K15" s="355"/>
      <c r="L15" s="355"/>
      <c r="M15" s="355"/>
      <c r="N15" s="355"/>
      <c r="O15" s="355"/>
      <c r="P15" s="355"/>
      <c r="Q15" s="513" t="e">
        <v>#DIV/0!</v>
      </c>
      <c r="R15" s="513" t="e">
        <v>#DIV/0!</v>
      </c>
    </row>
    <row r="16" spans="1:18" s="348" customFormat="1" ht="16.5" customHeight="1">
      <c r="A16" s="352">
        <v>2</v>
      </c>
      <c r="B16" s="353" t="s">
        <v>1202</v>
      </c>
      <c r="C16" s="352"/>
      <c r="D16" s="354"/>
      <c r="E16" s="354"/>
      <c r="F16" s="374"/>
      <c r="G16" s="354"/>
      <c r="H16" s="354"/>
      <c r="I16" s="354"/>
      <c r="J16" s="354"/>
      <c r="K16" s="354"/>
      <c r="L16" s="354"/>
      <c r="M16" s="354"/>
      <c r="N16" s="354"/>
      <c r="O16" s="354"/>
      <c r="P16" s="354"/>
      <c r="Q16" s="513"/>
      <c r="R16" s="513"/>
    </row>
    <row r="17" spans="1:18" s="348" customFormat="1" ht="16.5" customHeight="1">
      <c r="A17" s="352"/>
      <c r="B17" s="353" t="s">
        <v>611</v>
      </c>
      <c r="C17" s="352" t="s">
        <v>608</v>
      </c>
      <c r="D17" s="354">
        <v>58291</v>
      </c>
      <c r="E17" s="354">
        <v>59387</v>
      </c>
      <c r="F17" s="354">
        <f>SUM(G17:P17)</f>
        <v>60395</v>
      </c>
      <c r="G17" s="355">
        <v>34118</v>
      </c>
      <c r="H17" s="355">
        <v>4842</v>
      </c>
      <c r="I17" s="354">
        <v>0</v>
      </c>
      <c r="J17" s="355">
        <v>6792</v>
      </c>
      <c r="K17" s="355">
        <v>4487</v>
      </c>
      <c r="L17" s="355">
        <v>3462</v>
      </c>
      <c r="M17" s="355">
        <v>3484</v>
      </c>
      <c r="N17" s="355">
        <v>0</v>
      </c>
      <c r="O17" s="355">
        <v>3210</v>
      </c>
      <c r="P17" s="355">
        <v>0</v>
      </c>
      <c r="Q17" s="513">
        <f aca="true" t="shared" si="2" ref="Q17:R19">E17/D17*100</f>
        <v>101.88022164656635</v>
      </c>
      <c r="R17" s="513">
        <f t="shared" si="2"/>
        <v>101.69734116894269</v>
      </c>
    </row>
    <row r="18" spans="1:18" s="348" customFormat="1" ht="16.5" customHeight="1">
      <c r="A18" s="352"/>
      <c r="B18" s="353" t="s">
        <v>612</v>
      </c>
      <c r="C18" s="352" t="s">
        <v>608</v>
      </c>
      <c r="D18" s="354">
        <v>272909</v>
      </c>
      <c r="E18" s="354">
        <v>278043</v>
      </c>
      <c r="F18" s="354">
        <f>SUM(G18:P18)</f>
        <v>282759.7232</v>
      </c>
      <c r="G18" s="354">
        <v>1029.6901999999973</v>
      </c>
      <c r="H18" s="354">
        <v>1890.7649999999994</v>
      </c>
      <c r="I18" s="354">
        <v>68956.25</v>
      </c>
      <c r="J18" s="354">
        <v>43201.06</v>
      </c>
      <c r="K18" s="354">
        <v>23939.789999999997</v>
      </c>
      <c r="L18" s="354">
        <v>28054.039999999997</v>
      </c>
      <c r="M18" s="354">
        <v>24456.339999999997</v>
      </c>
      <c r="N18" s="354">
        <v>25401.308999999997</v>
      </c>
      <c r="O18" s="354">
        <v>34702.86</v>
      </c>
      <c r="P18" s="354">
        <v>31127.619</v>
      </c>
      <c r="Q18" s="513">
        <f t="shared" si="2"/>
        <v>101.88121315163663</v>
      </c>
      <c r="R18" s="513">
        <f t="shared" si="2"/>
        <v>101.69640062867973</v>
      </c>
    </row>
    <row r="19" spans="1:18" s="348" customFormat="1" ht="15.75" customHeight="1">
      <c r="A19" s="352">
        <v>3</v>
      </c>
      <c r="B19" s="365" t="s">
        <v>1203</v>
      </c>
      <c r="C19" s="352" t="s">
        <v>608</v>
      </c>
      <c r="D19" s="354">
        <v>319831</v>
      </c>
      <c r="E19" s="354">
        <v>328951</v>
      </c>
      <c r="F19" s="354">
        <v>331831</v>
      </c>
      <c r="G19" s="354"/>
      <c r="H19" s="354"/>
      <c r="I19" s="354"/>
      <c r="J19" s="354"/>
      <c r="K19" s="354"/>
      <c r="L19" s="354"/>
      <c r="M19" s="354"/>
      <c r="N19" s="354"/>
      <c r="O19" s="354"/>
      <c r="P19" s="354"/>
      <c r="Q19" s="513">
        <f t="shared" si="2"/>
        <v>102.85150595158068</v>
      </c>
      <c r="R19" s="513">
        <f t="shared" si="2"/>
        <v>100.8755103343659</v>
      </c>
    </row>
    <row r="20" spans="1:19" s="369" customFormat="1" ht="25.5">
      <c r="A20" s="366"/>
      <c r="B20" s="371" t="s">
        <v>613</v>
      </c>
      <c r="C20" s="366" t="s">
        <v>21</v>
      </c>
      <c r="D20" s="372">
        <f>D19/D13*100</f>
        <v>96.5673309178744</v>
      </c>
      <c r="E20" s="372">
        <f>E19/E13*100</f>
        <v>97.48718252674628</v>
      </c>
      <c r="F20" s="372">
        <f>F19/F13*100</f>
        <v>96.70011151401224</v>
      </c>
      <c r="G20" s="373"/>
      <c r="H20" s="373"/>
      <c r="I20" s="374"/>
      <c r="J20" s="374"/>
      <c r="K20" s="374"/>
      <c r="L20" s="374"/>
      <c r="M20" s="374"/>
      <c r="N20" s="374"/>
      <c r="O20" s="374"/>
      <c r="P20" s="374"/>
      <c r="Q20" s="513">
        <f>E20-D20</f>
        <v>0.9198516088718804</v>
      </c>
      <c r="R20" s="513">
        <f>F20-E20</f>
        <v>-0.7870710127340459</v>
      </c>
      <c r="S20" s="369" t="s">
        <v>1204</v>
      </c>
    </row>
    <row r="21" spans="1:18" s="348" customFormat="1" ht="15.75" customHeight="1">
      <c r="A21" s="352"/>
      <c r="B21" s="370" t="s">
        <v>614</v>
      </c>
      <c r="C21" s="352" t="s">
        <v>608</v>
      </c>
      <c r="D21" s="354">
        <v>153263</v>
      </c>
      <c r="E21" s="354">
        <v>157633</v>
      </c>
      <c r="F21" s="354">
        <v>159013</v>
      </c>
      <c r="G21" s="375"/>
      <c r="H21" s="375"/>
      <c r="I21" s="375"/>
      <c r="J21" s="355"/>
      <c r="K21" s="355"/>
      <c r="L21" s="355"/>
      <c r="M21" s="355"/>
      <c r="N21" s="355"/>
      <c r="O21" s="355"/>
      <c r="P21" s="355"/>
      <c r="Q21" s="513">
        <f>E21/D21*100</f>
        <v>102.85130788252872</v>
      </c>
      <c r="R21" s="513">
        <f>F21/E21*100</f>
        <v>100.87545120628295</v>
      </c>
    </row>
    <row r="22" spans="1:18" s="348" customFormat="1" ht="25.5">
      <c r="A22" s="352">
        <v>4</v>
      </c>
      <c r="B22" s="365" t="s">
        <v>1205</v>
      </c>
      <c r="C22" s="352" t="s">
        <v>608</v>
      </c>
      <c r="D22" s="354">
        <v>317581</v>
      </c>
      <c r="E22" s="354">
        <v>326161</v>
      </c>
      <c r="F22" s="354">
        <v>329508</v>
      </c>
      <c r="G22" s="375"/>
      <c r="H22" s="375"/>
      <c r="I22" s="375"/>
      <c r="J22" s="355"/>
      <c r="K22" s="355"/>
      <c r="L22" s="355"/>
      <c r="M22" s="355"/>
      <c r="N22" s="355"/>
      <c r="O22" s="355"/>
      <c r="P22" s="355"/>
      <c r="Q22" s="513">
        <f>E22/D22*100</f>
        <v>102.70167295902463</v>
      </c>
      <c r="R22" s="513">
        <f>F22/E22*100</f>
        <v>101.02618032198822</v>
      </c>
    </row>
    <row r="23" spans="1:18" s="369" customFormat="1" ht="15.75" customHeight="1">
      <c r="A23" s="366"/>
      <c r="B23" s="376" t="s">
        <v>615</v>
      </c>
      <c r="C23" s="366" t="s">
        <v>21</v>
      </c>
      <c r="D23" s="372">
        <f>D22/D19*100</f>
        <v>99.29650346589293</v>
      </c>
      <c r="E23" s="372">
        <f>E22/E19*100</f>
        <v>99.15184936358303</v>
      </c>
      <c r="F23" s="372">
        <f>F22/F19*100</f>
        <v>99.29994485144546</v>
      </c>
      <c r="G23" s="366"/>
      <c r="H23" s="366"/>
      <c r="I23" s="374"/>
      <c r="J23" s="373"/>
      <c r="K23" s="373"/>
      <c r="L23" s="373"/>
      <c r="M23" s="373"/>
      <c r="N23" s="373"/>
      <c r="O23" s="373"/>
      <c r="P23" s="373"/>
      <c r="Q23" s="513">
        <f>E23-D23</f>
        <v>-0.14465410230990017</v>
      </c>
      <c r="R23" s="513">
        <f>F23-E23</f>
        <v>0.14809548786243454</v>
      </c>
    </row>
    <row r="24" spans="1:18" s="348" customFormat="1" ht="15.75" customHeight="1">
      <c r="A24" s="352"/>
      <c r="B24" s="353" t="s">
        <v>616</v>
      </c>
      <c r="C24" s="352" t="s">
        <v>608</v>
      </c>
      <c r="D24" s="354">
        <v>153074</v>
      </c>
      <c r="E24" s="354">
        <v>157241</v>
      </c>
      <c r="F24" s="354">
        <v>158854.5762000975</v>
      </c>
      <c r="G24" s="377"/>
      <c r="H24" s="377"/>
      <c r="I24" s="377"/>
      <c r="J24" s="355"/>
      <c r="K24" s="355"/>
      <c r="L24" s="355"/>
      <c r="M24" s="355"/>
      <c r="N24" s="355"/>
      <c r="O24" s="355"/>
      <c r="P24" s="355"/>
      <c r="Q24" s="513">
        <f>E24/D24*100</f>
        <v>102.7222127859728</v>
      </c>
      <c r="R24" s="513">
        <f>F24/E24*100</f>
        <v>101.02618032198822</v>
      </c>
    </row>
    <row r="25" spans="1:18" s="348" customFormat="1" ht="15.75" customHeight="1">
      <c r="A25" s="352"/>
      <c r="B25" s="361" t="s">
        <v>617</v>
      </c>
      <c r="C25" s="352" t="s">
        <v>608</v>
      </c>
      <c r="D25" s="378"/>
      <c r="E25" s="378"/>
      <c r="F25" s="354"/>
      <c r="G25" s="377"/>
      <c r="H25" s="377"/>
      <c r="I25" s="377"/>
      <c r="J25" s="379"/>
      <c r="K25" s="379"/>
      <c r="L25" s="379"/>
      <c r="M25" s="379"/>
      <c r="N25" s="355"/>
      <c r="O25" s="355"/>
      <c r="P25" s="355"/>
      <c r="Q25" s="513"/>
      <c r="R25" s="513"/>
    </row>
    <row r="26" spans="1:18" s="348" customFormat="1" ht="15.75" customHeight="1">
      <c r="A26" s="352" t="s">
        <v>538</v>
      </c>
      <c r="B26" s="353" t="s">
        <v>1206</v>
      </c>
      <c r="C26" s="352" t="s">
        <v>608</v>
      </c>
      <c r="D26" s="354">
        <v>39429</v>
      </c>
      <c r="E26" s="377">
        <v>41357</v>
      </c>
      <c r="F26" s="354">
        <v>49472</v>
      </c>
      <c r="G26" s="377"/>
      <c r="H26" s="377"/>
      <c r="I26" s="377"/>
      <c r="J26" s="355"/>
      <c r="K26" s="355"/>
      <c r="L26" s="355"/>
      <c r="M26" s="355"/>
      <c r="N26" s="355"/>
      <c r="O26" s="355"/>
      <c r="P26" s="355"/>
      <c r="Q26" s="513">
        <f>E26/D26*100</f>
        <v>104.88980192244289</v>
      </c>
      <c r="R26" s="513">
        <f>F26/E26*100</f>
        <v>119.62182943637112</v>
      </c>
    </row>
    <row r="27" spans="1:18" s="369" customFormat="1" ht="25.5">
      <c r="A27" s="366"/>
      <c r="B27" s="371" t="s">
        <v>618</v>
      </c>
      <c r="C27" s="366" t="s">
        <v>21</v>
      </c>
      <c r="D27" s="380">
        <f>D26/D22*100</f>
        <v>12.415415279881353</v>
      </c>
      <c r="E27" s="380">
        <f>E26/E22*100</f>
        <v>12.679934142953938</v>
      </c>
      <c r="F27" s="380">
        <f>F26/F22*100</f>
        <v>15.013899510785777</v>
      </c>
      <c r="G27" s="381"/>
      <c r="H27" s="381"/>
      <c r="I27" s="381"/>
      <c r="J27" s="368"/>
      <c r="K27" s="373"/>
      <c r="L27" s="373"/>
      <c r="M27" s="373"/>
      <c r="N27" s="373"/>
      <c r="O27" s="373"/>
      <c r="P27" s="373"/>
      <c r="Q27" s="513">
        <f>E27-D27</f>
        <v>0.26451886307258476</v>
      </c>
      <c r="R27" s="513">
        <f>F27-E27</f>
        <v>2.333965367831839</v>
      </c>
    </row>
    <row r="28" spans="1:18" s="348" customFormat="1" ht="25.5">
      <c r="A28" s="352" t="s">
        <v>540</v>
      </c>
      <c r="B28" s="370" t="s">
        <v>1207</v>
      </c>
      <c r="C28" s="352" t="s">
        <v>608</v>
      </c>
      <c r="D28" s="354">
        <v>201990</v>
      </c>
      <c r="E28" s="354">
        <v>203126</v>
      </c>
      <c r="F28" s="354">
        <v>197704.8</v>
      </c>
      <c r="G28" s="382"/>
      <c r="H28" s="382"/>
      <c r="I28" s="382"/>
      <c r="J28" s="355"/>
      <c r="K28" s="355"/>
      <c r="L28" s="355"/>
      <c r="M28" s="355"/>
      <c r="N28" s="355"/>
      <c r="O28" s="355"/>
      <c r="P28" s="355"/>
      <c r="Q28" s="513">
        <f>E28/D28*100</f>
        <v>100.56240407940986</v>
      </c>
      <c r="R28" s="513">
        <f>F28/E28*100</f>
        <v>97.33111467758927</v>
      </c>
    </row>
    <row r="29" spans="1:18" s="369" customFormat="1" ht="25.5">
      <c r="A29" s="366"/>
      <c r="B29" s="371" t="s">
        <v>618</v>
      </c>
      <c r="C29" s="366" t="s">
        <v>21</v>
      </c>
      <c r="D29" s="380">
        <f>D28/D22*100</f>
        <v>63.60267144445039</v>
      </c>
      <c r="E29" s="380">
        <f>E28/E22*100</f>
        <v>62.27783211358807</v>
      </c>
      <c r="F29" s="380">
        <f>F28/F22*100</f>
        <v>60</v>
      </c>
      <c r="G29" s="381"/>
      <c r="H29" s="381"/>
      <c r="I29" s="381"/>
      <c r="J29" s="368"/>
      <c r="K29" s="368"/>
      <c r="L29" s="368"/>
      <c r="M29" s="368"/>
      <c r="N29" s="373"/>
      <c r="O29" s="373"/>
      <c r="P29" s="373"/>
      <c r="Q29" s="513">
        <f>E29-D29</f>
        <v>-1.3248393308623179</v>
      </c>
      <c r="R29" s="513">
        <f>F29-E29</f>
        <v>-2.277832113588069</v>
      </c>
    </row>
    <row r="30" spans="1:18" s="348" customFormat="1" ht="15.75" customHeight="1">
      <c r="A30" s="352" t="s">
        <v>541</v>
      </c>
      <c r="B30" s="353" t="s">
        <v>1208</v>
      </c>
      <c r="C30" s="352" t="s">
        <v>608</v>
      </c>
      <c r="D30" s="354">
        <v>76162</v>
      </c>
      <c r="E30" s="354">
        <v>81678</v>
      </c>
      <c r="F30" s="354">
        <v>82331.20000000001</v>
      </c>
      <c r="G30" s="378"/>
      <c r="H30" s="378"/>
      <c r="I30" s="378"/>
      <c r="J30" s="355"/>
      <c r="K30" s="355"/>
      <c r="L30" s="355"/>
      <c r="M30" s="355"/>
      <c r="N30" s="355"/>
      <c r="O30" s="355"/>
      <c r="P30" s="355"/>
      <c r="Q30" s="513">
        <f>E30/D30*100</f>
        <v>107.24245686825451</v>
      </c>
      <c r="R30" s="513">
        <f>F30/E30*100</f>
        <v>100.7997257523446</v>
      </c>
    </row>
    <row r="31" spans="1:18" s="369" customFormat="1" ht="25.5">
      <c r="A31" s="374"/>
      <c r="B31" s="371" t="s">
        <v>618</v>
      </c>
      <c r="C31" s="366" t="s">
        <v>21</v>
      </c>
      <c r="D31" s="380">
        <f>D30/D22*100</f>
        <v>23.981913275668255</v>
      </c>
      <c r="E31" s="380">
        <f>E30/E22*100</f>
        <v>25.042233743457988</v>
      </c>
      <c r="F31" s="380">
        <f>F30/F22*100</f>
        <v>24.986100489214223</v>
      </c>
      <c r="G31" s="381"/>
      <c r="H31" s="381"/>
      <c r="I31" s="381"/>
      <c r="J31" s="368"/>
      <c r="K31" s="373"/>
      <c r="L31" s="373"/>
      <c r="M31" s="373"/>
      <c r="N31" s="373"/>
      <c r="O31" s="373"/>
      <c r="P31" s="373"/>
      <c r="Q31" s="513">
        <f>E31-D31</f>
        <v>1.060320467789733</v>
      </c>
      <c r="R31" s="513">
        <f>F31-E31</f>
        <v>-0.056133254243764696</v>
      </c>
    </row>
    <row r="32" spans="1:18" s="348" customFormat="1" ht="15.75" customHeight="1">
      <c r="A32" s="352">
        <v>5</v>
      </c>
      <c r="B32" s="370" t="s">
        <v>1209</v>
      </c>
      <c r="C32" s="352" t="s">
        <v>608</v>
      </c>
      <c r="D32" s="354">
        <v>158956</v>
      </c>
      <c r="E32" s="354">
        <v>171581</v>
      </c>
      <c r="F32" s="354">
        <v>181080</v>
      </c>
      <c r="G32" s="382"/>
      <c r="H32" s="382"/>
      <c r="I32" s="382"/>
      <c r="J32" s="355"/>
      <c r="K32" s="355"/>
      <c r="L32" s="383"/>
      <c r="M32" s="383"/>
      <c r="N32" s="383"/>
      <c r="O32" s="383"/>
      <c r="P32" s="383"/>
      <c r="Q32" s="513">
        <f>E32/D32*100</f>
        <v>107.94244948287577</v>
      </c>
      <c r="R32" s="513">
        <f>F32/E32*100</f>
        <v>105.53616076372091</v>
      </c>
    </row>
    <row r="33" spans="1:18" s="369" customFormat="1" ht="38.25">
      <c r="A33" s="366"/>
      <c r="B33" s="371" t="s">
        <v>619</v>
      </c>
      <c r="C33" s="366" t="s">
        <v>21</v>
      </c>
      <c r="D33" s="384">
        <f>D32/D19*100</f>
        <v>49.69999781134412</v>
      </c>
      <c r="E33" s="384">
        <f>E32/E19*100</f>
        <v>52.160048153068395</v>
      </c>
      <c r="F33" s="384">
        <f>F32/F19*100</f>
        <v>54.56994675000226</v>
      </c>
      <c r="G33" s="385"/>
      <c r="H33" s="373"/>
      <c r="I33" s="373"/>
      <c r="J33" s="373"/>
      <c r="K33" s="373"/>
      <c r="L33" s="386"/>
      <c r="M33" s="386"/>
      <c r="N33" s="386"/>
      <c r="O33" s="386"/>
      <c r="P33" s="386"/>
      <c r="Q33" s="513">
        <f>E33-D33</f>
        <v>2.4600503417242763</v>
      </c>
      <c r="R33" s="513">
        <f>F33-E33</f>
        <v>2.409898596933864</v>
      </c>
    </row>
    <row r="34" spans="1:18" s="369" customFormat="1" ht="25.5">
      <c r="A34" s="366"/>
      <c r="B34" s="371" t="s">
        <v>620</v>
      </c>
      <c r="C34" s="366" t="s">
        <v>21</v>
      </c>
      <c r="D34" s="380">
        <v>28.62</v>
      </c>
      <c r="E34" s="380">
        <v>30.07</v>
      </c>
      <c r="F34" s="514">
        <v>31.8</v>
      </c>
      <c r="G34" s="373"/>
      <c r="H34" s="373"/>
      <c r="I34" s="373"/>
      <c r="J34" s="373"/>
      <c r="K34" s="373"/>
      <c r="L34" s="386"/>
      <c r="M34" s="386"/>
      <c r="N34" s="386"/>
      <c r="O34" s="386"/>
      <c r="P34" s="386"/>
      <c r="Q34" s="513">
        <f>E34-D34</f>
        <v>1.4499999999999993</v>
      </c>
      <c r="R34" s="513">
        <f>F34-E34</f>
        <v>1.7300000000000004</v>
      </c>
    </row>
    <row r="35" spans="1:18" s="348" customFormat="1" ht="25.5">
      <c r="A35" s="352">
        <v>6</v>
      </c>
      <c r="B35" s="370" t="s">
        <v>621</v>
      </c>
      <c r="C35" s="352" t="s">
        <v>608</v>
      </c>
      <c r="D35" s="354">
        <v>9046</v>
      </c>
      <c r="E35" s="354">
        <v>9528</v>
      </c>
      <c r="F35" s="354">
        <f>SUM(G35:P35)</f>
        <v>8650</v>
      </c>
      <c r="G35" s="355">
        <v>2150</v>
      </c>
      <c r="H35" s="355">
        <v>750</v>
      </c>
      <c r="I35" s="355">
        <v>1350</v>
      </c>
      <c r="J35" s="355">
        <v>1000</v>
      </c>
      <c r="K35" s="355">
        <v>700</v>
      </c>
      <c r="L35" s="383">
        <v>700</v>
      </c>
      <c r="M35" s="383">
        <v>500</v>
      </c>
      <c r="N35" s="383">
        <v>550</v>
      </c>
      <c r="O35" s="383">
        <v>500</v>
      </c>
      <c r="P35" s="383">
        <v>450</v>
      </c>
      <c r="Q35" s="513">
        <f aca="true" t="shared" si="3" ref="Q35:R37">E35/D35*100</f>
        <v>105.32832191023658</v>
      </c>
      <c r="R35" s="513">
        <f t="shared" si="3"/>
        <v>90.78505457598656</v>
      </c>
    </row>
    <row r="36" spans="1:18" s="369" customFormat="1" ht="38.25">
      <c r="A36" s="366"/>
      <c r="B36" s="370" t="s">
        <v>622</v>
      </c>
      <c r="C36" s="352" t="s">
        <v>608</v>
      </c>
      <c r="D36" s="354">
        <v>900</v>
      </c>
      <c r="E36" s="354">
        <v>1064</v>
      </c>
      <c r="F36" s="354">
        <v>1150</v>
      </c>
      <c r="G36" s="355"/>
      <c r="H36" s="355"/>
      <c r="I36" s="355"/>
      <c r="J36" s="355"/>
      <c r="K36" s="355"/>
      <c r="L36" s="383"/>
      <c r="M36" s="383"/>
      <c r="N36" s="383"/>
      <c r="O36" s="383"/>
      <c r="P36" s="383"/>
      <c r="Q36" s="513">
        <f t="shared" si="3"/>
        <v>118.22222222222223</v>
      </c>
      <c r="R36" s="513">
        <f t="shared" si="3"/>
        <v>108.0827067669173</v>
      </c>
    </row>
    <row r="37" spans="1:18" s="369" customFormat="1" ht="25.5">
      <c r="A37" s="366"/>
      <c r="B37" s="370" t="s">
        <v>623</v>
      </c>
      <c r="C37" s="352" t="s">
        <v>608</v>
      </c>
      <c r="D37" s="354">
        <v>47</v>
      </c>
      <c r="E37" s="354">
        <v>46</v>
      </c>
      <c r="F37" s="375">
        <v>0</v>
      </c>
      <c r="G37" s="355"/>
      <c r="H37" s="355"/>
      <c r="I37" s="355"/>
      <c r="J37" s="355"/>
      <c r="K37" s="355"/>
      <c r="L37" s="383"/>
      <c r="M37" s="383"/>
      <c r="N37" s="383"/>
      <c r="O37" s="383"/>
      <c r="P37" s="383"/>
      <c r="Q37" s="513">
        <f t="shared" si="3"/>
        <v>97.87234042553192</v>
      </c>
      <c r="R37" s="513">
        <f t="shared" si="3"/>
        <v>0</v>
      </c>
    </row>
    <row r="38" spans="1:18" s="348" customFormat="1" ht="25.5">
      <c r="A38" s="352">
        <v>7</v>
      </c>
      <c r="B38" s="370" t="s">
        <v>1210</v>
      </c>
      <c r="C38" s="352" t="s">
        <v>21</v>
      </c>
      <c r="D38" s="387">
        <v>2.94</v>
      </c>
      <c r="E38" s="387">
        <v>2.75</v>
      </c>
      <c r="F38" s="375">
        <v>2.64</v>
      </c>
      <c r="G38" s="388"/>
      <c r="H38" s="388"/>
      <c r="I38" s="388"/>
      <c r="J38" s="388"/>
      <c r="K38" s="388"/>
      <c r="L38" s="388"/>
      <c r="M38" s="388"/>
      <c r="N38" s="388"/>
      <c r="O38" s="388"/>
      <c r="P38" s="388"/>
      <c r="Q38" s="513">
        <f>E38-D38</f>
        <v>-0.18999999999999995</v>
      </c>
      <c r="R38" s="513">
        <f>F38-E38</f>
        <v>-0.10999999999999988</v>
      </c>
    </row>
    <row r="39" spans="1:18" s="364" customFormat="1" ht="17.25" customHeight="1">
      <c r="A39" s="1024" t="s">
        <v>117</v>
      </c>
      <c r="B39" s="389" t="s">
        <v>624</v>
      </c>
      <c r="C39" s="1024"/>
      <c r="D39" s="390"/>
      <c r="E39" s="391"/>
      <c r="F39" s="375"/>
      <c r="G39" s="392"/>
      <c r="H39" s="392"/>
      <c r="I39" s="392"/>
      <c r="J39" s="392"/>
      <c r="K39" s="392"/>
      <c r="L39" s="392"/>
      <c r="M39" s="392"/>
      <c r="N39" s="392"/>
      <c r="O39" s="392"/>
      <c r="P39" s="392"/>
      <c r="Q39" s="513"/>
      <c r="R39" s="513"/>
    </row>
    <row r="40" spans="1:18" s="348" customFormat="1" ht="25.5">
      <c r="A40" s="352">
        <v>1</v>
      </c>
      <c r="B40" s="370" t="s">
        <v>625</v>
      </c>
      <c r="C40" s="352" t="s">
        <v>196</v>
      </c>
      <c r="D40" s="515">
        <v>2650</v>
      </c>
      <c r="E40" s="515">
        <v>2557</v>
      </c>
      <c r="F40" s="516">
        <f>SUM(G40:P40)</f>
        <v>2302</v>
      </c>
      <c r="G40" s="515">
        <v>115</v>
      </c>
      <c r="H40" s="515">
        <v>60</v>
      </c>
      <c r="I40" s="515">
        <v>575</v>
      </c>
      <c r="J40" s="515">
        <v>386</v>
      </c>
      <c r="K40" s="354">
        <v>153</v>
      </c>
      <c r="L40" s="354">
        <v>174</v>
      </c>
      <c r="M40" s="354">
        <v>166</v>
      </c>
      <c r="N40" s="354">
        <v>212</v>
      </c>
      <c r="O40" s="354">
        <v>254</v>
      </c>
      <c r="P40" s="393">
        <v>207</v>
      </c>
      <c r="Q40" s="513">
        <f aca="true" t="shared" si="4" ref="Q40:R47">E40/D40*100</f>
        <v>96.49056603773585</v>
      </c>
      <c r="R40" s="513">
        <f t="shared" si="4"/>
        <v>90.02737583105201</v>
      </c>
    </row>
    <row r="41" spans="1:24" s="348" customFormat="1" ht="38.25">
      <c r="A41" s="352">
        <v>2</v>
      </c>
      <c r="B41" s="370" t="s">
        <v>626</v>
      </c>
      <c r="C41" s="352" t="s">
        <v>196</v>
      </c>
      <c r="D41" s="354">
        <v>1680</v>
      </c>
      <c r="E41" s="354">
        <v>1663</v>
      </c>
      <c r="F41" s="516">
        <f>SUM(G41:P41)</f>
        <v>1687</v>
      </c>
      <c r="G41" s="354">
        <v>89</v>
      </c>
      <c r="H41" s="354">
        <v>61</v>
      </c>
      <c r="I41" s="354">
        <v>517</v>
      </c>
      <c r="J41" s="354">
        <v>303</v>
      </c>
      <c r="K41" s="354">
        <v>126</v>
      </c>
      <c r="L41" s="354">
        <v>94</v>
      </c>
      <c r="M41" s="354">
        <v>89</v>
      </c>
      <c r="N41" s="354">
        <v>87</v>
      </c>
      <c r="O41" s="354">
        <v>186</v>
      </c>
      <c r="P41" s="354">
        <v>135</v>
      </c>
      <c r="Q41" s="513">
        <f t="shared" si="4"/>
        <v>98.98809523809524</v>
      </c>
      <c r="R41" s="513">
        <f t="shared" si="4"/>
        <v>101.44317498496693</v>
      </c>
      <c r="X41" s="394">
        <f>SUM(G41:W41)</f>
        <v>1887.431270223062</v>
      </c>
    </row>
    <row r="42" spans="1:18" s="348" customFormat="1" ht="38.25">
      <c r="A42" s="352">
        <v>3</v>
      </c>
      <c r="B42" s="370" t="s">
        <v>435</v>
      </c>
      <c r="C42" s="352" t="s">
        <v>627</v>
      </c>
      <c r="D42" s="393">
        <v>87</v>
      </c>
      <c r="E42" s="354">
        <v>93</v>
      </c>
      <c r="F42" s="516">
        <f>SUM(G42:P42)</f>
        <v>98</v>
      </c>
      <c r="G42" s="393">
        <v>9</v>
      </c>
      <c r="H42" s="393">
        <v>3</v>
      </c>
      <c r="I42" s="393">
        <v>24</v>
      </c>
      <c r="J42" s="393">
        <v>14</v>
      </c>
      <c r="K42" s="393">
        <v>10</v>
      </c>
      <c r="L42" s="393">
        <v>8</v>
      </c>
      <c r="M42" s="393">
        <v>8</v>
      </c>
      <c r="N42" s="393">
        <v>7</v>
      </c>
      <c r="O42" s="393">
        <v>10</v>
      </c>
      <c r="P42" s="393">
        <v>5</v>
      </c>
      <c r="Q42" s="513">
        <f t="shared" si="4"/>
        <v>106.89655172413792</v>
      </c>
      <c r="R42" s="513">
        <f t="shared" si="4"/>
        <v>105.3763440860215</v>
      </c>
    </row>
    <row r="43" spans="1:18" s="369" customFormat="1" ht="38.25">
      <c r="A43" s="366"/>
      <c r="B43" s="371" t="s">
        <v>1211</v>
      </c>
      <c r="C43" s="366" t="s">
        <v>21</v>
      </c>
      <c r="D43" s="384">
        <f>D42/130*100</f>
        <v>66.92307692307692</v>
      </c>
      <c r="E43" s="384">
        <f>E42/130*100</f>
        <v>71.53846153846153</v>
      </c>
      <c r="F43" s="517">
        <f>F42/130*100</f>
        <v>75.38461538461539</v>
      </c>
      <c r="G43" s="518">
        <f>G42/9*100</f>
        <v>100</v>
      </c>
      <c r="H43" s="518">
        <f>H42/3*100</f>
        <v>100</v>
      </c>
      <c r="I43" s="384">
        <f>I42/25*100</f>
        <v>96</v>
      </c>
      <c r="J43" s="384">
        <f>J42/19*100</f>
        <v>73.68421052631578</v>
      </c>
      <c r="K43" s="518">
        <f>K42/10*100</f>
        <v>100</v>
      </c>
      <c r="L43" s="384">
        <f>L42/12*100</f>
        <v>66.66666666666666</v>
      </c>
      <c r="M43" s="384">
        <f>M42/12*100</f>
        <v>66.66666666666666</v>
      </c>
      <c r="N43" s="384">
        <f>N42/11*100</f>
        <v>63.63636363636363</v>
      </c>
      <c r="O43" s="384">
        <f>O42/14*100</f>
        <v>71.42857142857143</v>
      </c>
      <c r="P43" s="384">
        <f>P42/15*100</f>
        <v>33.33333333333333</v>
      </c>
      <c r="Q43" s="519">
        <f>E43-D43</f>
        <v>4.615384615384613</v>
      </c>
      <c r="R43" s="519">
        <f>F43-E43</f>
        <v>3.846153846153854</v>
      </c>
    </row>
    <row r="44" spans="1:18" s="348" customFormat="1" ht="25.5">
      <c r="A44" s="352">
        <v>4</v>
      </c>
      <c r="B44" s="370" t="s">
        <v>628</v>
      </c>
      <c r="C44" s="352" t="s">
        <v>196</v>
      </c>
      <c r="D44" s="383">
        <v>80</v>
      </c>
      <c r="E44" s="354">
        <v>73</v>
      </c>
      <c r="F44" s="516">
        <f>SUM(G44:P44)</f>
        <v>80</v>
      </c>
      <c r="G44" s="393">
        <v>6</v>
      </c>
      <c r="H44" s="395">
        <v>1</v>
      </c>
      <c r="I44" s="395">
        <v>18</v>
      </c>
      <c r="J44" s="395">
        <v>5</v>
      </c>
      <c r="K44" s="395">
        <v>5</v>
      </c>
      <c r="L44" s="395">
        <v>20</v>
      </c>
      <c r="M44" s="395">
        <v>4</v>
      </c>
      <c r="N44" s="395">
        <v>6</v>
      </c>
      <c r="O44" s="395">
        <v>10</v>
      </c>
      <c r="P44" s="395">
        <v>5</v>
      </c>
      <c r="Q44" s="513">
        <f t="shared" si="4"/>
        <v>91.25</v>
      </c>
      <c r="R44" s="513">
        <f t="shared" si="4"/>
        <v>109.58904109589041</v>
      </c>
    </row>
    <row r="45" spans="1:18" s="348" customFormat="1" ht="38.25">
      <c r="A45" s="352">
        <v>5</v>
      </c>
      <c r="B45" s="370" t="s">
        <v>629</v>
      </c>
      <c r="C45" s="352" t="s">
        <v>196</v>
      </c>
      <c r="D45" s="383">
        <v>161</v>
      </c>
      <c r="E45" s="354">
        <v>161</v>
      </c>
      <c r="F45" s="516">
        <f>SUM(G45:P45)</f>
        <v>170</v>
      </c>
      <c r="G45" s="393">
        <v>7</v>
      </c>
      <c r="H45" s="395">
        <v>3</v>
      </c>
      <c r="I45" s="395">
        <v>44</v>
      </c>
      <c r="J45" s="395">
        <v>21</v>
      </c>
      <c r="K45" s="395">
        <v>14</v>
      </c>
      <c r="L45" s="395">
        <v>40</v>
      </c>
      <c r="M45" s="395">
        <v>6</v>
      </c>
      <c r="N45" s="395">
        <v>9</v>
      </c>
      <c r="O45" s="395">
        <v>13</v>
      </c>
      <c r="P45" s="395">
        <v>13</v>
      </c>
      <c r="Q45" s="513">
        <f t="shared" si="4"/>
        <v>100</v>
      </c>
      <c r="R45" s="513">
        <f t="shared" si="4"/>
        <v>105.59006211180125</v>
      </c>
    </row>
    <row r="46" spans="1:18" s="348" customFormat="1" ht="51">
      <c r="A46" s="352" t="s">
        <v>687</v>
      </c>
      <c r="B46" s="1226" t="s">
        <v>1212</v>
      </c>
      <c r="C46" s="352"/>
      <c r="D46" s="383"/>
      <c r="E46" s="354"/>
      <c r="F46" s="516"/>
      <c r="G46" s="393"/>
      <c r="H46" s="395"/>
      <c r="I46" s="395"/>
      <c r="J46" s="395"/>
      <c r="K46" s="395"/>
      <c r="L46" s="395"/>
      <c r="M46" s="395"/>
      <c r="N46" s="395"/>
      <c r="O46" s="395"/>
      <c r="P46" s="395"/>
      <c r="Q46" s="513"/>
      <c r="R46" s="513"/>
    </row>
    <row r="47" spans="1:18" s="348" customFormat="1" ht="38.25">
      <c r="A47" s="352">
        <v>1</v>
      </c>
      <c r="B47" s="370" t="s">
        <v>1213</v>
      </c>
      <c r="C47" s="352" t="s">
        <v>735</v>
      </c>
      <c r="D47" s="383">
        <v>512</v>
      </c>
      <c r="E47" s="354">
        <v>534</v>
      </c>
      <c r="F47" s="516">
        <v>558</v>
      </c>
      <c r="G47" s="393">
        <v>35</v>
      </c>
      <c r="H47" s="395">
        <v>21</v>
      </c>
      <c r="I47" s="395">
        <v>98</v>
      </c>
      <c r="J47" s="395">
        <v>132</v>
      </c>
      <c r="K47" s="395">
        <v>36</v>
      </c>
      <c r="L47" s="395">
        <v>15</v>
      </c>
      <c r="M47" s="395">
        <v>30</v>
      </c>
      <c r="N47" s="395">
        <v>29</v>
      </c>
      <c r="O47" s="395">
        <v>81</v>
      </c>
      <c r="P47" s="395">
        <v>81</v>
      </c>
      <c r="Q47" s="513">
        <f t="shared" si="4"/>
        <v>104.296875</v>
      </c>
      <c r="R47" s="513">
        <f t="shared" si="4"/>
        <v>104.49438202247192</v>
      </c>
    </row>
    <row r="48" spans="1:18" s="348" customFormat="1" ht="25.5">
      <c r="A48" s="352">
        <v>2</v>
      </c>
      <c r="B48" s="370" t="s">
        <v>1214</v>
      </c>
      <c r="C48" s="352" t="s">
        <v>1215</v>
      </c>
      <c r="D48" s="383">
        <v>15</v>
      </c>
      <c r="E48" s="354">
        <v>11</v>
      </c>
      <c r="F48" s="516"/>
      <c r="G48" s="393"/>
      <c r="H48" s="395"/>
      <c r="I48" s="395"/>
      <c r="J48" s="395"/>
      <c r="K48" s="395"/>
      <c r="L48" s="395"/>
      <c r="M48" s="395"/>
      <c r="N48" s="395"/>
      <c r="O48" s="395"/>
      <c r="P48" s="395"/>
      <c r="Q48" s="513">
        <f>E48/D48*100</f>
        <v>73.33333333333333</v>
      </c>
      <c r="R48" s="513"/>
    </row>
    <row r="49" spans="1:18" s="348" customFormat="1" ht="16.5" customHeight="1">
      <c r="A49" s="352">
        <v>3</v>
      </c>
      <c r="B49" s="370" t="s">
        <v>1216</v>
      </c>
      <c r="C49" s="352" t="s">
        <v>1215</v>
      </c>
      <c r="D49" s="383">
        <v>15</v>
      </c>
      <c r="E49" s="354">
        <v>11</v>
      </c>
      <c r="F49" s="516"/>
      <c r="G49" s="393"/>
      <c r="H49" s="395"/>
      <c r="I49" s="395"/>
      <c r="J49" s="395"/>
      <c r="K49" s="395"/>
      <c r="L49" s="395"/>
      <c r="M49" s="395"/>
      <c r="N49" s="395"/>
      <c r="O49" s="395"/>
      <c r="P49" s="395"/>
      <c r="Q49" s="513">
        <f>E49/D49*100</f>
        <v>73.33333333333333</v>
      </c>
      <c r="R49" s="513"/>
    </row>
    <row r="50" spans="1:18" s="348" customFormat="1" ht="41.25" customHeight="1">
      <c r="A50" s="352">
        <v>4</v>
      </c>
      <c r="B50" s="370" t="s">
        <v>1217</v>
      </c>
      <c r="C50" s="352" t="s">
        <v>196</v>
      </c>
      <c r="D50" s="1227" t="s">
        <v>1218</v>
      </c>
      <c r="E50" s="1227" t="s">
        <v>1218</v>
      </c>
      <c r="F50" s="1227" t="s">
        <v>1219</v>
      </c>
      <c r="G50" s="1227" t="s">
        <v>1220</v>
      </c>
      <c r="H50" s="1227" t="s">
        <v>1221</v>
      </c>
      <c r="I50" s="1227" t="s">
        <v>1222</v>
      </c>
      <c r="J50" s="1227" t="s">
        <v>1223</v>
      </c>
      <c r="K50" s="1227" t="s">
        <v>1224</v>
      </c>
      <c r="L50" s="1227" t="s">
        <v>1225</v>
      </c>
      <c r="M50" s="1227" t="s">
        <v>1226</v>
      </c>
      <c r="N50" s="1227" t="s">
        <v>1227</v>
      </c>
      <c r="O50" s="1227" t="s">
        <v>1228</v>
      </c>
      <c r="P50" s="1227" t="s">
        <v>1229</v>
      </c>
      <c r="Q50" s="513"/>
      <c r="R50" s="513"/>
    </row>
    <row r="51" spans="1:18" s="364" customFormat="1" ht="18" customHeight="1">
      <c r="A51" s="1024" t="s">
        <v>122</v>
      </c>
      <c r="B51" s="389" t="s">
        <v>630</v>
      </c>
      <c r="C51" s="1024"/>
      <c r="D51" s="362"/>
      <c r="E51" s="362"/>
      <c r="F51" s="375"/>
      <c r="G51" s="391"/>
      <c r="H51" s="391"/>
      <c r="I51" s="391"/>
      <c r="J51" s="391"/>
      <c r="K51" s="391"/>
      <c r="L51" s="391"/>
      <c r="M51" s="391"/>
      <c r="N51" s="391"/>
      <c r="O51" s="391"/>
      <c r="P51" s="391"/>
      <c r="Q51" s="513"/>
      <c r="R51" s="520"/>
    </row>
    <row r="52" spans="1:18" s="348" customFormat="1" ht="18" customHeight="1">
      <c r="A52" s="1024" t="s">
        <v>631</v>
      </c>
      <c r="B52" s="389" t="s">
        <v>632</v>
      </c>
      <c r="C52" s="352" t="s">
        <v>586</v>
      </c>
      <c r="D52" s="355"/>
      <c r="E52" s="355"/>
      <c r="F52" s="375"/>
      <c r="G52" s="393"/>
      <c r="H52" s="393"/>
      <c r="I52" s="393"/>
      <c r="J52" s="393"/>
      <c r="K52" s="393"/>
      <c r="L52" s="393"/>
      <c r="M52" s="393"/>
      <c r="N52" s="393"/>
      <c r="O52" s="393"/>
      <c r="P52" s="393"/>
      <c r="Q52" s="513"/>
      <c r="R52" s="513"/>
    </row>
    <row r="53" spans="1:18" s="348" customFormat="1" ht="25.5">
      <c r="A53" s="352">
        <v>1</v>
      </c>
      <c r="B53" s="370" t="s">
        <v>633</v>
      </c>
      <c r="C53" s="352" t="s">
        <v>634</v>
      </c>
      <c r="D53" s="355">
        <v>9280</v>
      </c>
      <c r="E53" s="355">
        <v>9175</v>
      </c>
      <c r="F53" s="355">
        <v>9000</v>
      </c>
      <c r="G53" s="375"/>
      <c r="H53" s="375"/>
      <c r="I53" s="375"/>
      <c r="J53" s="375"/>
      <c r="K53" s="375"/>
      <c r="L53" s="375"/>
      <c r="M53" s="375"/>
      <c r="N53" s="375"/>
      <c r="O53" s="375"/>
      <c r="P53" s="375"/>
      <c r="Q53" s="513">
        <f aca="true" t="shared" si="5" ref="Q53:R55">E53/D53*100</f>
        <v>98.86853448275862</v>
      </c>
      <c r="R53" s="513">
        <f t="shared" si="5"/>
        <v>98.09264305177112</v>
      </c>
    </row>
    <row r="54" spans="1:22" s="348" customFormat="1" ht="16.5" customHeight="1">
      <c r="A54" s="352"/>
      <c r="B54" s="370" t="s">
        <v>635</v>
      </c>
      <c r="C54" s="352" t="s">
        <v>634</v>
      </c>
      <c r="D54" s="355">
        <v>536</v>
      </c>
      <c r="E54" s="355">
        <v>504</v>
      </c>
      <c r="F54" s="355">
        <v>469</v>
      </c>
      <c r="G54" s="383"/>
      <c r="H54" s="354"/>
      <c r="I54" s="354"/>
      <c r="J54" s="383"/>
      <c r="K54" s="383"/>
      <c r="L54" s="383"/>
      <c r="M54" s="383"/>
      <c r="N54" s="383"/>
      <c r="O54" s="383"/>
      <c r="P54" s="383"/>
      <c r="Q54" s="513">
        <f t="shared" si="5"/>
        <v>94.02985074626866</v>
      </c>
      <c r="R54" s="513">
        <f t="shared" si="5"/>
        <v>93.05555555555556</v>
      </c>
      <c r="T54" s="356">
        <v>3717</v>
      </c>
      <c r="U54" s="356"/>
      <c r="V54" s="356"/>
    </row>
    <row r="55" spans="1:22" s="348" customFormat="1" ht="16.5" customHeight="1">
      <c r="A55" s="352">
        <v>2</v>
      </c>
      <c r="B55" s="370" t="s">
        <v>636</v>
      </c>
      <c r="C55" s="352" t="s">
        <v>634</v>
      </c>
      <c r="D55" s="354">
        <f>D57+D58</f>
        <v>933</v>
      </c>
      <c r="E55" s="354">
        <f>E57+E58</f>
        <v>977</v>
      </c>
      <c r="F55" s="354">
        <v>950</v>
      </c>
      <c r="G55" s="383"/>
      <c r="H55" s="383"/>
      <c r="I55" s="383"/>
      <c r="J55" s="383"/>
      <c r="K55" s="383"/>
      <c r="L55" s="383"/>
      <c r="M55" s="383"/>
      <c r="N55" s="383"/>
      <c r="O55" s="383"/>
      <c r="P55" s="383"/>
      <c r="Q55" s="513">
        <f t="shared" si="5"/>
        <v>104.71596998928187</v>
      </c>
      <c r="R55" s="513">
        <f t="shared" si="5"/>
        <v>97.23643807574207</v>
      </c>
      <c r="S55" s="356">
        <f>F55-E55</f>
        <v>-27</v>
      </c>
      <c r="T55" s="356">
        <v>5779</v>
      </c>
      <c r="U55" s="356">
        <f>T55-T54</f>
        <v>2062</v>
      </c>
      <c r="V55" s="356"/>
    </row>
    <row r="56" spans="1:22" s="348" customFormat="1" ht="16.5" customHeight="1">
      <c r="A56" s="352"/>
      <c r="B56" s="370" t="s">
        <v>637</v>
      </c>
      <c r="C56" s="352"/>
      <c r="D56" s="354"/>
      <c r="E56" s="355"/>
      <c r="F56" s="355"/>
      <c r="G56" s="383"/>
      <c r="H56" s="383"/>
      <c r="I56" s="383"/>
      <c r="J56" s="383"/>
      <c r="K56" s="383"/>
      <c r="L56" s="383"/>
      <c r="M56" s="383"/>
      <c r="N56" s="383"/>
      <c r="O56" s="383"/>
      <c r="P56" s="383"/>
      <c r="Q56" s="513"/>
      <c r="R56" s="513"/>
      <c r="T56" s="397">
        <f>T55/T54*100</f>
        <v>155.47484530535377</v>
      </c>
      <c r="U56" s="397">
        <f>T55/T54</f>
        <v>1.5547484530535378</v>
      </c>
      <c r="V56" s="356"/>
    </row>
    <row r="57" spans="1:22" s="348" customFormat="1" ht="16.5" customHeight="1">
      <c r="A57" s="1024"/>
      <c r="B57" s="370" t="s">
        <v>638</v>
      </c>
      <c r="C57" s="352" t="s">
        <v>634</v>
      </c>
      <c r="D57" s="354">
        <v>497</v>
      </c>
      <c r="E57" s="355">
        <v>592</v>
      </c>
      <c r="F57" s="355">
        <f>G57+H57+I57+J57+K57+L57+M57+N57+O57+P57</f>
        <v>480</v>
      </c>
      <c r="G57" s="393">
        <v>30</v>
      </c>
      <c r="H57" s="393">
        <v>10</v>
      </c>
      <c r="I57" s="393">
        <v>100</v>
      </c>
      <c r="J57" s="393">
        <v>20</v>
      </c>
      <c r="K57" s="393">
        <v>30</v>
      </c>
      <c r="L57" s="393">
        <v>20</v>
      </c>
      <c r="M57" s="393">
        <v>20</v>
      </c>
      <c r="N57" s="393">
        <v>100</v>
      </c>
      <c r="O57" s="393">
        <v>90</v>
      </c>
      <c r="P57" s="393">
        <v>60</v>
      </c>
      <c r="Q57" s="521">
        <f aca="true" t="shared" si="6" ref="Q57:R65">E57/D57*100</f>
        <v>119.11468812877264</v>
      </c>
      <c r="R57" s="521">
        <f t="shared" si="6"/>
        <v>81.08108108108108</v>
      </c>
      <c r="T57" s="356"/>
      <c r="U57" s="356"/>
      <c r="V57" s="356"/>
    </row>
    <row r="58" spans="1:22" s="348" customFormat="1" ht="16.5" customHeight="1">
      <c r="A58" s="352"/>
      <c r="B58" s="370" t="s">
        <v>639</v>
      </c>
      <c r="C58" s="352" t="s">
        <v>634</v>
      </c>
      <c r="D58" s="354">
        <f>D59+D60+D61</f>
        <v>436</v>
      </c>
      <c r="E58" s="354">
        <v>385</v>
      </c>
      <c r="F58" s="354">
        <v>376</v>
      </c>
      <c r="G58" s="383"/>
      <c r="H58" s="383"/>
      <c r="I58" s="383"/>
      <c r="J58" s="383"/>
      <c r="K58" s="383"/>
      <c r="L58" s="383"/>
      <c r="M58" s="383"/>
      <c r="N58" s="383"/>
      <c r="O58" s="383"/>
      <c r="P58" s="383"/>
      <c r="Q58" s="521">
        <f t="shared" si="6"/>
        <v>88.30275229357798</v>
      </c>
      <c r="R58" s="521">
        <f t="shared" si="6"/>
        <v>97.66233766233766</v>
      </c>
      <c r="T58" s="356"/>
      <c r="U58" s="356"/>
      <c r="V58" s="356"/>
    </row>
    <row r="59" spans="1:22" s="348" customFormat="1" ht="25.5">
      <c r="A59" s="352"/>
      <c r="B59" s="370" t="s">
        <v>640</v>
      </c>
      <c r="C59" s="352" t="s">
        <v>634</v>
      </c>
      <c r="D59" s="354">
        <v>289</v>
      </c>
      <c r="E59" s="355">
        <v>385</v>
      </c>
      <c r="F59" s="355">
        <v>400</v>
      </c>
      <c r="G59" s="383"/>
      <c r="H59" s="383"/>
      <c r="I59" s="383"/>
      <c r="J59" s="383"/>
      <c r="K59" s="383"/>
      <c r="L59" s="383"/>
      <c r="M59" s="383"/>
      <c r="N59" s="383"/>
      <c r="O59" s="383"/>
      <c r="P59" s="383"/>
      <c r="Q59" s="521">
        <f t="shared" si="6"/>
        <v>133.21799307958477</v>
      </c>
      <c r="R59" s="521">
        <f t="shared" si="6"/>
        <v>103.89610389610388</v>
      </c>
      <c r="T59" s="356"/>
      <c r="U59" s="356"/>
      <c r="V59" s="356"/>
    </row>
    <row r="60" spans="1:22" s="348" customFormat="1" ht="25.5">
      <c r="A60" s="352"/>
      <c r="B60" s="370" t="s">
        <v>641</v>
      </c>
      <c r="C60" s="352" t="s">
        <v>634</v>
      </c>
      <c r="D60" s="354">
        <v>60</v>
      </c>
      <c r="E60" s="354">
        <v>0</v>
      </c>
      <c r="F60" s="354">
        <v>0</v>
      </c>
      <c r="G60" s="383"/>
      <c r="H60" s="383"/>
      <c r="I60" s="383"/>
      <c r="J60" s="383"/>
      <c r="K60" s="383"/>
      <c r="L60" s="383"/>
      <c r="M60" s="383"/>
      <c r="N60" s="383"/>
      <c r="O60" s="383"/>
      <c r="P60" s="383"/>
      <c r="Q60" s="396">
        <f t="shared" si="6"/>
        <v>0</v>
      </c>
      <c r="R60" s="396">
        <v>0</v>
      </c>
      <c r="T60" s="356"/>
      <c r="U60" s="356"/>
      <c r="V60" s="356"/>
    </row>
    <row r="61" spans="1:22" s="348" customFormat="1" ht="17.25" customHeight="1">
      <c r="A61" s="352"/>
      <c r="B61" s="370" t="s">
        <v>642</v>
      </c>
      <c r="C61" s="352" t="s">
        <v>634</v>
      </c>
      <c r="D61" s="354">
        <v>87</v>
      </c>
      <c r="E61" s="354">
        <v>0</v>
      </c>
      <c r="F61" s="354">
        <v>0</v>
      </c>
      <c r="G61" s="383"/>
      <c r="H61" s="383"/>
      <c r="I61" s="383"/>
      <c r="J61" s="383"/>
      <c r="K61" s="383"/>
      <c r="L61" s="383"/>
      <c r="M61" s="383"/>
      <c r="N61" s="383"/>
      <c r="O61" s="383"/>
      <c r="P61" s="383"/>
      <c r="Q61" s="396">
        <f t="shared" si="6"/>
        <v>0</v>
      </c>
      <c r="R61" s="396">
        <v>0</v>
      </c>
      <c r="T61" s="356"/>
      <c r="U61" s="356"/>
      <c r="V61" s="356"/>
    </row>
    <row r="62" spans="1:18" s="348" customFormat="1" ht="25.5">
      <c r="A62" s="352">
        <v>3</v>
      </c>
      <c r="B62" s="370" t="s">
        <v>643</v>
      </c>
      <c r="C62" s="352" t="s">
        <v>634</v>
      </c>
      <c r="D62" s="355">
        <v>2760</v>
      </c>
      <c r="E62" s="355">
        <v>3000</v>
      </c>
      <c r="F62" s="355">
        <v>3480</v>
      </c>
      <c r="G62" s="383"/>
      <c r="H62" s="383"/>
      <c r="I62" s="383"/>
      <c r="J62" s="383"/>
      <c r="K62" s="383"/>
      <c r="L62" s="383"/>
      <c r="M62" s="383"/>
      <c r="N62" s="383"/>
      <c r="O62" s="383"/>
      <c r="P62" s="383"/>
      <c r="Q62" s="396">
        <f t="shared" si="6"/>
        <v>108.69565217391303</v>
      </c>
      <c r="R62" s="396">
        <f>F62/E62*100</f>
        <v>115.99999999999999</v>
      </c>
    </row>
    <row r="63" spans="1:18" s="348" customFormat="1" ht="16.5" customHeight="1">
      <c r="A63" s="352">
        <v>4</v>
      </c>
      <c r="B63" s="370" t="s">
        <v>644</v>
      </c>
      <c r="C63" s="352" t="s">
        <v>645</v>
      </c>
      <c r="D63" s="383">
        <f>D64+D65</f>
        <v>2</v>
      </c>
      <c r="E63" s="383">
        <f>E64+E65</f>
        <v>2</v>
      </c>
      <c r="F63" s="383">
        <f>F64+F65</f>
        <v>2</v>
      </c>
      <c r="G63" s="383"/>
      <c r="H63" s="398"/>
      <c r="I63" s="393"/>
      <c r="J63" s="393"/>
      <c r="K63" s="393"/>
      <c r="L63" s="393"/>
      <c r="M63" s="393"/>
      <c r="N63" s="393"/>
      <c r="O63" s="393"/>
      <c r="P63" s="393"/>
      <c r="Q63" s="396">
        <f t="shared" si="6"/>
        <v>100</v>
      </c>
      <c r="R63" s="396">
        <f>F63/E63*100</f>
        <v>100</v>
      </c>
    </row>
    <row r="64" spans="1:18" s="348" customFormat="1" ht="16.5" customHeight="1">
      <c r="A64" s="352"/>
      <c r="B64" s="370" t="s">
        <v>646</v>
      </c>
      <c r="C64" s="352" t="s">
        <v>645</v>
      </c>
      <c r="D64" s="383">
        <v>1</v>
      </c>
      <c r="E64" s="383">
        <v>1</v>
      </c>
      <c r="F64" s="383">
        <v>1</v>
      </c>
      <c r="G64" s="393"/>
      <c r="H64" s="398"/>
      <c r="I64" s="393"/>
      <c r="J64" s="393"/>
      <c r="K64" s="393"/>
      <c r="L64" s="393"/>
      <c r="M64" s="393"/>
      <c r="N64" s="393"/>
      <c r="O64" s="393"/>
      <c r="P64" s="393"/>
      <c r="Q64" s="396">
        <f t="shared" si="6"/>
        <v>100</v>
      </c>
      <c r="R64" s="396">
        <f>F64/E64*100</f>
        <v>100</v>
      </c>
    </row>
    <row r="65" spans="1:18" s="348" customFormat="1" ht="16.5" customHeight="1">
      <c r="A65" s="352"/>
      <c r="B65" s="370" t="s">
        <v>1230</v>
      </c>
      <c r="C65" s="352" t="s">
        <v>645</v>
      </c>
      <c r="D65" s="383">
        <v>1</v>
      </c>
      <c r="E65" s="383">
        <v>1</v>
      </c>
      <c r="F65" s="383">
        <v>1</v>
      </c>
      <c r="G65" s="393"/>
      <c r="H65" s="398"/>
      <c r="I65" s="393"/>
      <c r="J65" s="393"/>
      <c r="K65" s="393"/>
      <c r="L65" s="393"/>
      <c r="M65" s="393"/>
      <c r="N65" s="393"/>
      <c r="O65" s="393"/>
      <c r="P65" s="393"/>
      <c r="Q65" s="396">
        <f t="shared" si="6"/>
        <v>100</v>
      </c>
      <c r="R65" s="396">
        <f>F65/E65*100</f>
        <v>100</v>
      </c>
    </row>
    <row r="66" spans="1:18" s="364" customFormat="1" ht="18.75" customHeight="1">
      <c r="A66" s="399" t="s">
        <v>647</v>
      </c>
      <c r="B66" s="389" t="s">
        <v>1398</v>
      </c>
      <c r="C66" s="1024"/>
      <c r="D66" s="363"/>
      <c r="E66" s="390"/>
      <c r="F66" s="1269"/>
      <c r="G66" s="1269"/>
      <c r="H66" s="1269"/>
      <c r="I66" s="390"/>
      <c r="J66" s="390"/>
      <c r="K66" s="390"/>
      <c r="L66" s="390"/>
      <c r="M66" s="390"/>
      <c r="N66" s="390"/>
      <c r="O66" s="390"/>
      <c r="P66" s="390"/>
      <c r="Q66" s="521"/>
      <c r="R66" s="521"/>
    </row>
    <row r="67" spans="1:19" s="348" customFormat="1" ht="17.25" customHeight="1">
      <c r="A67" s="352">
        <v>1</v>
      </c>
      <c r="B67" s="370" t="s">
        <v>648</v>
      </c>
      <c r="C67" s="352" t="s">
        <v>649</v>
      </c>
      <c r="D67" s="522">
        <v>124810</v>
      </c>
      <c r="E67" s="523">
        <v>127918</v>
      </c>
      <c r="F67" s="523">
        <f>SUM(G67:P67)</f>
        <v>130668</v>
      </c>
      <c r="G67" s="523">
        <v>15200</v>
      </c>
      <c r="H67" s="523">
        <v>3190</v>
      </c>
      <c r="I67" s="523">
        <v>29000</v>
      </c>
      <c r="J67" s="523">
        <v>19141</v>
      </c>
      <c r="K67" s="523">
        <v>10822</v>
      </c>
      <c r="L67" s="523">
        <v>11329</v>
      </c>
      <c r="M67" s="523">
        <v>9392</v>
      </c>
      <c r="N67" s="523">
        <v>8915</v>
      </c>
      <c r="O67" s="523">
        <v>13215</v>
      </c>
      <c r="P67" s="523">
        <v>10464</v>
      </c>
      <c r="Q67" s="524">
        <f aca="true" t="shared" si="7" ref="Q67:R69">E67/D67*100</f>
        <v>102.49018508132362</v>
      </c>
      <c r="R67" s="525">
        <f t="shared" si="7"/>
        <v>102.14981472505823</v>
      </c>
      <c r="S67" s="356"/>
    </row>
    <row r="68" spans="1:19" s="348" customFormat="1" ht="27.75" customHeight="1">
      <c r="A68" s="352">
        <v>2</v>
      </c>
      <c r="B68" s="370" t="s">
        <v>1397</v>
      </c>
      <c r="C68" s="352" t="s">
        <v>649</v>
      </c>
      <c r="D68" s="522">
        <v>54723</v>
      </c>
      <c r="E68" s="523">
        <v>51188</v>
      </c>
      <c r="F68" s="523">
        <f>SUM(G68:P68)</f>
        <v>47911</v>
      </c>
      <c r="G68" s="523">
        <v>49</v>
      </c>
      <c r="H68" s="523">
        <v>227</v>
      </c>
      <c r="I68" s="523">
        <v>5231</v>
      </c>
      <c r="J68" s="523">
        <v>8494</v>
      </c>
      <c r="K68" s="523">
        <v>3794</v>
      </c>
      <c r="L68" s="523">
        <v>6010</v>
      </c>
      <c r="M68" s="523">
        <v>5384</v>
      </c>
      <c r="N68" s="523">
        <v>5585</v>
      </c>
      <c r="O68" s="523">
        <v>7156</v>
      </c>
      <c r="P68" s="523">
        <v>5981</v>
      </c>
      <c r="Q68" s="524">
        <f t="shared" si="7"/>
        <v>93.54019333735359</v>
      </c>
      <c r="R68" s="525">
        <f t="shared" si="7"/>
        <v>93.59810893178089</v>
      </c>
      <c r="S68" s="356"/>
    </row>
    <row r="69" spans="1:19" s="348" customFormat="1" ht="27.75" customHeight="1">
      <c r="A69" s="352">
        <v>3</v>
      </c>
      <c r="B69" s="370" t="s">
        <v>1399</v>
      </c>
      <c r="C69" s="352" t="s">
        <v>649</v>
      </c>
      <c r="D69" s="523">
        <v>51188</v>
      </c>
      <c r="E69" s="523">
        <v>47911</v>
      </c>
      <c r="F69" s="523">
        <f>SUM(G69:P69)</f>
        <v>44387</v>
      </c>
      <c r="G69" s="523">
        <v>40</v>
      </c>
      <c r="H69" s="523">
        <v>215</v>
      </c>
      <c r="I69" s="523">
        <v>4681</v>
      </c>
      <c r="J69" s="523">
        <v>7825</v>
      </c>
      <c r="K69" s="523">
        <v>3464</v>
      </c>
      <c r="L69" s="523">
        <v>5450</v>
      </c>
      <c r="M69" s="523">
        <v>5074</v>
      </c>
      <c r="N69" s="523">
        <v>5250</v>
      </c>
      <c r="O69" s="523">
        <v>6658</v>
      </c>
      <c r="P69" s="523">
        <v>5730</v>
      </c>
      <c r="Q69" s="524">
        <f t="shared" si="7"/>
        <v>93.59810893178089</v>
      </c>
      <c r="R69" s="525">
        <f t="shared" si="7"/>
        <v>92.64469537267016</v>
      </c>
      <c r="S69" s="356"/>
    </row>
    <row r="70" spans="1:22" s="369" customFormat="1" ht="16.5" customHeight="1">
      <c r="A70" s="366"/>
      <c r="B70" s="371" t="s">
        <v>651</v>
      </c>
      <c r="C70" s="1238" t="s">
        <v>21</v>
      </c>
      <c r="D70" s="1239">
        <f aca="true" t="shared" si="8" ref="D70:P70">D69/D67*100</f>
        <v>41.01273936383303</v>
      </c>
      <c r="E70" s="1239">
        <f t="shared" si="8"/>
        <v>37.45446301536922</v>
      </c>
      <c r="F70" s="1239">
        <f t="shared" si="8"/>
        <v>33.9692962316711</v>
      </c>
      <c r="G70" s="1239">
        <f t="shared" si="8"/>
        <v>0.2631578947368421</v>
      </c>
      <c r="H70" s="1239">
        <f t="shared" si="8"/>
        <v>6.739811912225706</v>
      </c>
      <c r="I70" s="1239">
        <f t="shared" si="8"/>
        <v>16.141379310344828</v>
      </c>
      <c r="J70" s="1239">
        <f t="shared" si="8"/>
        <v>40.880831722480536</v>
      </c>
      <c r="K70" s="1239">
        <f t="shared" si="8"/>
        <v>32.00887081870265</v>
      </c>
      <c r="L70" s="1239">
        <f t="shared" si="8"/>
        <v>48.10662900520787</v>
      </c>
      <c r="M70" s="1239">
        <f t="shared" si="8"/>
        <v>54.024701873935264</v>
      </c>
      <c r="N70" s="1239">
        <f t="shared" si="8"/>
        <v>58.88951205832866</v>
      </c>
      <c r="O70" s="1239">
        <f t="shared" si="8"/>
        <v>50.38214150586455</v>
      </c>
      <c r="P70" s="1239">
        <f t="shared" si="8"/>
        <v>54.75917431192661</v>
      </c>
      <c r="Q70" s="1251">
        <f>E70-D70</f>
        <v>-3.5582763484638065</v>
      </c>
      <c r="R70" s="1252">
        <f>F70-E70</f>
        <v>-3.4851667836981193</v>
      </c>
      <c r="S70" s="1247"/>
      <c r="T70" s="1253"/>
      <c r="U70" s="1254"/>
      <c r="V70" s="1255"/>
    </row>
    <row r="71" spans="1:22" s="348" customFormat="1" ht="16.5" customHeight="1">
      <c r="A71" s="352">
        <v>4</v>
      </c>
      <c r="B71" s="370" t="s">
        <v>131</v>
      </c>
      <c r="C71" s="400" t="s">
        <v>649</v>
      </c>
      <c r="D71" s="1228">
        <v>3535</v>
      </c>
      <c r="E71" s="523">
        <v>3558</v>
      </c>
      <c r="F71" s="523">
        <f>SUM(G71:P71)</f>
        <v>4074</v>
      </c>
      <c r="G71" s="523">
        <f>G68-G69</f>
        <v>9</v>
      </c>
      <c r="H71" s="523">
        <v>12</v>
      </c>
      <c r="I71" s="523">
        <v>610</v>
      </c>
      <c r="J71" s="523">
        <v>739</v>
      </c>
      <c r="K71" s="523">
        <v>370</v>
      </c>
      <c r="L71" s="523">
        <v>650</v>
      </c>
      <c r="M71" s="523">
        <v>380</v>
      </c>
      <c r="N71" s="523">
        <v>415</v>
      </c>
      <c r="O71" s="523">
        <v>568</v>
      </c>
      <c r="P71" s="523">
        <v>321</v>
      </c>
      <c r="Q71" s="524">
        <f>E71/D71*100</f>
        <v>100.65063649222066</v>
      </c>
      <c r="R71" s="525">
        <f>F71/E71*100</f>
        <v>114.50252951096121</v>
      </c>
      <c r="S71" s="346"/>
      <c r="T71" s="423"/>
      <c r="U71" s="526"/>
      <c r="V71" s="527"/>
    </row>
    <row r="72" spans="1:19" s="348" customFormat="1" ht="16.5" customHeight="1">
      <c r="A72" s="352">
        <v>5</v>
      </c>
      <c r="B72" s="370" t="s">
        <v>1400</v>
      </c>
      <c r="C72" s="400" t="s">
        <v>649</v>
      </c>
      <c r="D72" s="523"/>
      <c r="E72" s="523">
        <v>281</v>
      </c>
      <c r="F72" s="523">
        <f>SUM(G72:P72)</f>
        <v>550</v>
      </c>
      <c r="G72" s="523">
        <v>0</v>
      </c>
      <c r="H72" s="523">
        <v>0</v>
      </c>
      <c r="I72" s="523">
        <v>60</v>
      </c>
      <c r="J72" s="523">
        <v>70</v>
      </c>
      <c r="K72" s="523">
        <v>40</v>
      </c>
      <c r="L72" s="523">
        <v>90</v>
      </c>
      <c r="M72" s="523">
        <v>70</v>
      </c>
      <c r="N72" s="523">
        <v>80</v>
      </c>
      <c r="O72" s="523">
        <v>70</v>
      </c>
      <c r="P72" s="523">
        <v>70</v>
      </c>
      <c r="Q72" s="524"/>
      <c r="R72" s="525">
        <f>F72/E72*100</f>
        <v>195.72953736654804</v>
      </c>
      <c r="S72" s="356" t="s">
        <v>1343</v>
      </c>
    </row>
    <row r="73" spans="1:19" s="348" customFormat="1" ht="16.5" customHeight="1">
      <c r="A73" s="352">
        <v>6</v>
      </c>
      <c r="B73" s="370" t="s">
        <v>129</v>
      </c>
      <c r="C73" s="400" t="s">
        <v>649</v>
      </c>
      <c r="D73" s="523">
        <v>11782</v>
      </c>
      <c r="E73" s="523">
        <v>8621</v>
      </c>
      <c r="F73" s="523">
        <f>SUM(G73:P73)</f>
        <v>7121</v>
      </c>
      <c r="G73" s="523">
        <v>25</v>
      </c>
      <c r="H73" s="523">
        <v>20</v>
      </c>
      <c r="I73" s="523">
        <v>2206</v>
      </c>
      <c r="J73" s="523">
        <v>1600</v>
      </c>
      <c r="K73" s="523">
        <v>600</v>
      </c>
      <c r="L73" s="523">
        <v>700</v>
      </c>
      <c r="M73" s="523">
        <v>650</v>
      </c>
      <c r="N73" s="523">
        <v>170</v>
      </c>
      <c r="O73" s="523">
        <v>700</v>
      </c>
      <c r="P73" s="523">
        <v>450</v>
      </c>
      <c r="Q73" s="524">
        <f>E73/D73*100</f>
        <v>73.17093872008148</v>
      </c>
      <c r="R73" s="525">
        <f>F73/E73*100</f>
        <v>82.60062637745041</v>
      </c>
      <c r="S73" s="356"/>
    </row>
    <row r="74" spans="1:19" s="369" customFormat="1" ht="16.5" customHeight="1">
      <c r="A74" s="366"/>
      <c r="B74" s="371" t="s">
        <v>1344</v>
      </c>
      <c r="C74" s="1238" t="s">
        <v>21</v>
      </c>
      <c r="D74" s="1256">
        <f>D73/D67*100</f>
        <v>9.439948722057528</v>
      </c>
      <c r="E74" s="1256">
        <f>E73/E67*100</f>
        <v>6.739473725355307</v>
      </c>
      <c r="F74" s="1256">
        <f>F73/F67*100</f>
        <v>5.449689288884807</v>
      </c>
      <c r="G74" s="1257"/>
      <c r="H74" s="1257"/>
      <c r="I74" s="1257"/>
      <c r="J74" s="1257"/>
      <c r="K74" s="1257"/>
      <c r="L74" s="1257"/>
      <c r="M74" s="1257"/>
      <c r="N74" s="1257"/>
      <c r="O74" s="1257"/>
      <c r="P74" s="1257"/>
      <c r="Q74" s="1251"/>
      <c r="R74" s="1252"/>
      <c r="S74" s="1241"/>
    </row>
    <row r="75" spans="1:19" s="348" customFormat="1" ht="16.5" customHeight="1">
      <c r="A75" s="352">
        <v>7</v>
      </c>
      <c r="B75" s="370" t="s">
        <v>1345</v>
      </c>
      <c r="C75" s="400" t="s">
        <v>21</v>
      </c>
      <c r="D75" s="1258">
        <v>52.45</v>
      </c>
      <c r="E75" s="1258">
        <v>47.95</v>
      </c>
      <c r="F75" s="1258">
        <v>43.45</v>
      </c>
      <c r="G75" s="523"/>
      <c r="H75" s="523"/>
      <c r="I75" s="523"/>
      <c r="J75" s="523"/>
      <c r="K75" s="523"/>
      <c r="L75" s="523"/>
      <c r="M75" s="523"/>
      <c r="N75" s="523"/>
      <c r="O75" s="523"/>
      <c r="P75" s="523"/>
      <c r="Q75" s="524"/>
      <c r="R75" s="525"/>
      <c r="S75" s="356"/>
    </row>
    <row r="76" spans="1:18" s="364" customFormat="1" ht="16.5" customHeight="1">
      <c r="A76" s="1024" t="s">
        <v>652</v>
      </c>
      <c r="B76" s="389" t="s">
        <v>1231</v>
      </c>
      <c r="C76" s="1024"/>
      <c r="D76" s="1229"/>
      <c r="E76" s="1229"/>
      <c r="F76" s="1230"/>
      <c r="G76" s="1229"/>
      <c r="H76" s="1231"/>
      <c r="I76" s="1229"/>
      <c r="J76" s="1229"/>
      <c r="K76" s="1229"/>
      <c r="L76" s="1229"/>
      <c r="M76" s="1229"/>
      <c r="N76" s="1229"/>
      <c r="O76" s="1229"/>
      <c r="P76" s="1229"/>
      <c r="Q76" s="1232"/>
      <c r="R76" s="1232"/>
    </row>
    <row r="77" spans="1:31" s="364" customFormat="1" ht="38.25">
      <c r="A77" s="1024">
        <v>1</v>
      </c>
      <c r="B77" s="389" t="s">
        <v>1232</v>
      </c>
      <c r="C77" s="1024" t="s">
        <v>196</v>
      </c>
      <c r="D77" s="363"/>
      <c r="E77" s="1233">
        <v>39596</v>
      </c>
      <c r="F77" s="1233">
        <f>SUM(G77:P77)</f>
        <v>39270</v>
      </c>
      <c r="G77" s="1233">
        <v>14636</v>
      </c>
      <c r="H77" s="1233">
        <v>932</v>
      </c>
      <c r="I77" s="1233">
        <v>4944</v>
      </c>
      <c r="J77" s="1233">
        <v>3965</v>
      </c>
      <c r="K77" s="1233">
        <v>2081</v>
      </c>
      <c r="L77" s="1233">
        <v>2378</v>
      </c>
      <c r="M77" s="1233">
        <v>2745</v>
      </c>
      <c r="N77" s="1233">
        <v>2276</v>
      </c>
      <c r="O77" s="1233">
        <v>2709</v>
      </c>
      <c r="P77" s="1233">
        <v>2604</v>
      </c>
      <c r="Q77" s="521"/>
      <c r="R77" s="1234">
        <f>F77/E77*100</f>
        <v>99.17668451358723</v>
      </c>
      <c r="S77" s="364" t="s">
        <v>1233</v>
      </c>
      <c r="U77" s="1235"/>
      <c r="V77" s="1235"/>
      <c r="W77" s="1235"/>
      <c r="X77" s="1235"/>
      <c r="Y77" s="1235"/>
      <c r="Z77" s="1235"/>
      <c r="AA77" s="1235"/>
      <c r="AB77" s="1235"/>
      <c r="AC77" s="1235"/>
      <c r="AD77" s="1235"/>
      <c r="AE77" s="1235"/>
    </row>
    <row r="78" spans="1:20" s="348" customFormat="1" ht="25.5">
      <c r="A78" s="352"/>
      <c r="B78" s="389" t="s">
        <v>1234</v>
      </c>
      <c r="C78" s="400" t="s">
        <v>196</v>
      </c>
      <c r="D78" s="1233">
        <v>38293</v>
      </c>
      <c r="E78" s="1233">
        <v>38500</v>
      </c>
      <c r="F78" s="1233">
        <f>SUM(G78:P78)</f>
        <v>38551</v>
      </c>
      <c r="G78" s="1233">
        <v>14068</v>
      </c>
      <c r="H78" s="1233">
        <v>927</v>
      </c>
      <c r="I78" s="1233">
        <v>4890</v>
      </c>
      <c r="J78" s="1233">
        <v>3915</v>
      </c>
      <c r="K78" s="1233">
        <v>2074</v>
      </c>
      <c r="L78" s="1233">
        <v>2368</v>
      </c>
      <c r="M78" s="1233">
        <v>2739</v>
      </c>
      <c r="N78" s="1233">
        <v>2262</v>
      </c>
      <c r="O78" s="1233">
        <v>2706</v>
      </c>
      <c r="P78" s="1233">
        <v>2602</v>
      </c>
      <c r="Q78" s="1236">
        <f>E78/D78*100</f>
        <v>100.54056877236049</v>
      </c>
      <c r="R78" s="1236">
        <f>F78/E78*100</f>
        <v>100.13246753246754</v>
      </c>
      <c r="S78" s="356"/>
      <c r="T78" s="1237"/>
    </row>
    <row r="79" spans="1:20" s="369" customFormat="1" ht="16.5" customHeight="1">
      <c r="A79" s="366"/>
      <c r="B79" s="371" t="s">
        <v>1195</v>
      </c>
      <c r="C79" s="1238" t="s">
        <v>21</v>
      </c>
      <c r="D79" s="1239"/>
      <c r="E79" s="1239">
        <f aca="true" t="shared" si="9" ref="E79:P79">E78/E77*100</f>
        <v>97.23204364077179</v>
      </c>
      <c r="F79" s="1239">
        <f t="shared" si="9"/>
        <v>98.16908581614464</v>
      </c>
      <c r="G79" s="1239">
        <f t="shared" si="9"/>
        <v>96.11915823995628</v>
      </c>
      <c r="H79" s="1239">
        <f t="shared" si="9"/>
        <v>99.46351931330472</v>
      </c>
      <c r="I79" s="1239">
        <f t="shared" si="9"/>
        <v>98.90776699029125</v>
      </c>
      <c r="J79" s="1239">
        <f t="shared" si="9"/>
        <v>98.7389659520807</v>
      </c>
      <c r="K79" s="1239">
        <f t="shared" si="9"/>
        <v>99.66362325804901</v>
      </c>
      <c r="L79" s="1239">
        <f t="shared" si="9"/>
        <v>99.57947855340622</v>
      </c>
      <c r="M79" s="1239">
        <f t="shared" si="9"/>
        <v>99.78142076502732</v>
      </c>
      <c r="N79" s="1239">
        <f t="shared" si="9"/>
        <v>99.38488576449912</v>
      </c>
      <c r="O79" s="1239">
        <f t="shared" si="9"/>
        <v>99.88925802879291</v>
      </c>
      <c r="P79" s="1239">
        <f t="shared" si="9"/>
        <v>99.9231950844854</v>
      </c>
      <c r="Q79" s="1240"/>
      <c r="R79" s="1240">
        <f>F79-E79</f>
        <v>0.9370421753728522</v>
      </c>
      <c r="S79" s="1241"/>
      <c r="T79" s="1242"/>
    </row>
    <row r="80" spans="1:20" s="369" customFormat="1" ht="25.5">
      <c r="A80" s="366"/>
      <c r="B80" s="371" t="s">
        <v>1235</v>
      </c>
      <c r="C80" s="1238" t="s">
        <v>21</v>
      </c>
      <c r="D80" s="1239"/>
      <c r="E80" s="1239">
        <v>100.54</v>
      </c>
      <c r="F80" s="1239">
        <f>F78/E78*100</f>
        <v>100.13246753246754</v>
      </c>
      <c r="G80" s="1239">
        <v>102.49</v>
      </c>
      <c r="H80" s="1239">
        <v>100.17</v>
      </c>
      <c r="I80" s="1239">
        <v>99.96</v>
      </c>
      <c r="J80" s="1239">
        <v>98.75</v>
      </c>
      <c r="K80" s="1239">
        <v>98.56</v>
      </c>
      <c r="L80" s="1239">
        <v>98.42</v>
      </c>
      <c r="M80" s="1239">
        <v>98.29</v>
      </c>
      <c r="N80" s="1239">
        <v>98.39</v>
      </c>
      <c r="O80" s="1239">
        <v>98.31</v>
      </c>
      <c r="P80" s="1239">
        <v>98.36</v>
      </c>
      <c r="Q80" s="1240"/>
      <c r="R80" s="1240">
        <f>F80-E80</f>
        <v>-0.4075324675324623</v>
      </c>
      <c r="S80" s="1241"/>
      <c r="T80" s="1242"/>
    </row>
    <row r="81" spans="1:20" s="414" customFormat="1" ht="25.5">
      <c r="A81" s="1024">
        <v>2</v>
      </c>
      <c r="B81" s="389" t="s">
        <v>1236</v>
      </c>
      <c r="C81" s="1243" t="s">
        <v>196</v>
      </c>
      <c r="D81" s="1244"/>
      <c r="E81" s="1233">
        <v>30168</v>
      </c>
      <c r="F81" s="1245">
        <f>SUM(G81:P81)</f>
        <v>29943</v>
      </c>
      <c r="G81" s="1245">
        <v>11950</v>
      </c>
      <c r="H81" s="1245">
        <v>666</v>
      </c>
      <c r="I81" s="1245">
        <v>3639</v>
      </c>
      <c r="J81" s="1245">
        <v>2968</v>
      </c>
      <c r="K81" s="1245">
        <v>1486</v>
      </c>
      <c r="L81" s="1245">
        <v>1704</v>
      </c>
      <c r="M81" s="1245">
        <v>1962</v>
      </c>
      <c r="N81" s="1245">
        <v>1616</v>
      </c>
      <c r="O81" s="1245">
        <v>2136</v>
      </c>
      <c r="P81" s="1245">
        <v>1816</v>
      </c>
      <c r="Q81" s="1236"/>
      <c r="R81" s="1236">
        <f>F81/E81*100</f>
        <v>99.25417661097852</v>
      </c>
      <c r="S81" s="413"/>
      <c r="T81" s="1246"/>
    </row>
    <row r="82" spans="1:20" s="348" customFormat="1" ht="25.5">
      <c r="A82" s="352"/>
      <c r="B82" s="389" t="s">
        <v>1237</v>
      </c>
      <c r="C82" s="400" t="s">
        <v>196</v>
      </c>
      <c r="D82" s="1233">
        <v>28807</v>
      </c>
      <c r="E82" s="1233">
        <v>29004</v>
      </c>
      <c r="F82" s="1233">
        <f>SUM(G82:P82)</f>
        <v>29207</v>
      </c>
      <c r="G82" s="1233">
        <v>11329</v>
      </c>
      <c r="H82" s="1233">
        <v>661</v>
      </c>
      <c r="I82" s="1233">
        <v>3617</v>
      </c>
      <c r="J82" s="1233">
        <v>2920</v>
      </c>
      <c r="K82" s="1233">
        <v>1479</v>
      </c>
      <c r="L82" s="1233">
        <v>1695</v>
      </c>
      <c r="M82" s="1233">
        <v>1956</v>
      </c>
      <c r="N82" s="1233">
        <v>1602</v>
      </c>
      <c r="O82" s="1233">
        <v>2134</v>
      </c>
      <c r="P82" s="1233">
        <v>1814</v>
      </c>
      <c r="Q82" s="1236">
        <f>E82/D82*100</f>
        <v>100.68386156142604</v>
      </c>
      <c r="R82" s="1236">
        <f>F82/E82*100</f>
        <v>100.6999034615915</v>
      </c>
      <c r="S82" s="356"/>
      <c r="T82" s="1237"/>
    </row>
    <row r="83" spans="1:20" s="369" customFormat="1" ht="25.5">
      <c r="A83" s="366"/>
      <c r="B83" s="371" t="s">
        <v>1196</v>
      </c>
      <c r="C83" s="1238" t="s">
        <v>21</v>
      </c>
      <c r="D83" s="1239"/>
      <c r="E83" s="1239">
        <f aca="true" t="shared" si="10" ref="E83:P83">E82/E81*100</f>
        <v>96.14160700079555</v>
      </c>
      <c r="F83" s="1239">
        <f t="shared" si="10"/>
        <v>97.54199645994055</v>
      </c>
      <c r="G83" s="1239">
        <f t="shared" si="10"/>
        <v>94.80334728033472</v>
      </c>
      <c r="H83" s="1239">
        <f t="shared" si="10"/>
        <v>99.24924924924925</v>
      </c>
      <c r="I83" s="1239">
        <f t="shared" si="10"/>
        <v>99.39543830722725</v>
      </c>
      <c r="J83" s="1239">
        <f t="shared" si="10"/>
        <v>98.38274932614556</v>
      </c>
      <c r="K83" s="1239">
        <f t="shared" si="10"/>
        <v>99.52893674293405</v>
      </c>
      <c r="L83" s="1239">
        <f t="shared" si="10"/>
        <v>99.47183098591549</v>
      </c>
      <c r="M83" s="1239">
        <f t="shared" si="10"/>
        <v>99.69418960244649</v>
      </c>
      <c r="N83" s="1239">
        <f t="shared" si="10"/>
        <v>99.13366336633663</v>
      </c>
      <c r="O83" s="1239">
        <f t="shared" si="10"/>
        <v>99.90636704119851</v>
      </c>
      <c r="P83" s="1239">
        <f t="shared" si="10"/>
        <v>99.8898678414097</v>
      </c>
      <c r="Q83" s="1240"/>
      <c r="R83" s="1240">
        <f>F83-E83</f>
        <v>1.4003894591450035</v>
      </c>
      <c r="S83" s="1241"/>
      <c r="T83" s="1242"/>
    </row>
    <row r="84" spans="1:20" s="1247" customFormat="1" ht="25.5">
      <c r="A84" s="366"/>
      <c r="B84" s="371" t="s">
        <v>1238</v>
      </c>
      <c r="C84" s="1238" t="s">
        <v>21</v>
      </c>
      <c r="D84" s="1239"/>
      <c r="E84" s="1239">
        <v>100.6</v>
      </c>
      <c r="F84" s="1239">
        <f>F82/E82*100</f>
        <v>100.6999034615915</v>
      </c>
      <c r="G84" s="1239">
        <v>103.4</v>
      </c>
      <c r="H84" s="1239">
        <v>100.74</v>
      </c>
      <c r="I84" s="1239">
        <v>101.1</v>
      </c>
      <c r="J84" s="1239">
        <v>98.69</v>
      </c>
      <c r="K84" s="1239">
        <v>98.73</v>
      </c>
      <c r="L84" s="1239">
        <v>98.42</v>
      </c>
      <c r="M84" s="1239">
        <v>98.26</v>
      </c>
      <c r="N84" s="1239">
        <v>98.34</v>
      </c>
      <c r="O84" s="1239">
        <v>98.28</v>
      </c>
      <c r="P84" s="1239">
        <v>98.42</v>
      </c>
      <c r="Q84" s="1240"/>
      <c r="R84" s="1240">
        <f>F84-E84</f>
        <v>0.09990346159150931</v>
      </c>
      <c r="S84" s="1241"/>
      <c r="T84" s="1242"/>
    </row>
    <row r="85" spans="1:20" s="403" customFormat="1" ht="25.5">
      <c r="A85" s="1024">
        <v>3</v>
      </c>
      <c r="B85" s="389" t="s">
        <v>1239</v>
      </c>
      <c r="C85" s="1243" t="s">
        <v>196</v>
      </c>
      <c r="D85" s="1244"/>
      <c r="E85" s="1233">
        <v>269104</v>
      </c>
      <c r="F85" s="1233">
        <f>SUM(G85:P85)</f>
        <v>303885</v>
      </c>
      <c r="G85" s="1233">
        <v>20512</v>
      </c>
      <c r="H85" s="1233">
        <v>5801</v>
      </c>
      <c r="I85" s="1233">
        <v>64012</v>
      </c>
      <c r="J85" s="1233">
        <v>46028</v>
      </c>
      <c r="K85" s="1233">
        <v>26346</v>
      </c>
      <c r="L85" s="1233">
        <v>29138</v>
      </c>
      <c r="M85" s="1233">
        <v>25195</v>
      </c>
      <c r="N85" s="1233">
        <v>23125</v>
      </c>
      <c r="O85" s="1233">
        <v>35204</v>
      </c>
      <c r="P85" s="1233">
        <v>28524</v>
      </c>
      <c r="Q85" s="1236"/>
      <c r="R85" s="1236">
        <f>F85/E85*100</f>
        <v>112.92474285034781</v>
      </c>
      <c r="S85" s="413"/>
      <c r="T85" s="1246"/>
    </row>
    <row r="86" spans="1:20" ht="25.5">
      <c r="A86" s="352"/>
      <c r="B86" s="389" t="s">
        <v>1240</v>
      </c>
      <c r="C86" s="400" t="s">
        <v>196</v>
      </c>
      <c r="D86" s="1233">
        <v>1209</v>
      </c>
      <c r="E86" s="1233">
        <v>1803</v>
      </c>
      <c r="F86" s="1233">
        <f>SUM(G86:P86)</f>
        <v>2359</v>
      </c>
      <c r="G86" s="1233">
        <v>494</v>
      </c>
      <c r="H86" s="1233">
        <v>243</v>
      </c>
      <c r="I86" s="1233">
        <v>390</v>
      </c>
      <c r="J86" s="1233">
        <v>308</v>
      </c>
      <c r="K86" s="1233">
        <v>187</v>
      </c>
      <c r="L86" s="1233">
        <v>105</v>
      </c>
      <c r="M86" s="1233">
        <v>216</v>
      </c>
      <c r="N86" s="1233">
        <v>140</v>
      </c>
      <c r="O86" s="1233">
        <v>108</v>
      </c>
      <c r="P86" s="1233">
        <v>168</v>
      </c>
      <c r="Q86" s="1236">
        <f>E86/D86*100</f>
        <v>149.1315136476427</v>
      </c>
      <c r="R86" s="1236">
        <f>F86/E86*100</f>
        <v>130.83749306711036</v>
      </c>
      <c r="S86" s="356"/>
      <c r="T86" s="1237"/>
    </row>
    <row r="87" spans="1:20" s="1247" customFormat="1" ht="15.75" customHeight="1">
      <c r="A87" s="366"/>
      <c r="B87" s="371" t="s">
        <v>1197</v>
      </c>
      <c r="C87" s="1238" t="s">
        <v>21</v>
      </c>
      <c r="D87" s="1248"/>
      <c r="E87" s="1249">
        <f>E86/E85*100</f>
        <v>0.6700011891313395</v>
      </c>
      <c r="F87" s="1249">
        <f>F86/F85*100</f>
        <v>0.77628050084736</v>
      </c>
      <c r="G87" s="1239">
        <v>2.41</v>
      </c>
      <c r="H87" s="1239">
        <v>4.19</v>
      </c>
      <c r="I87" s="1239">
        <v>0.61</v>
      </c>
      <c r="J87" s="1239">
        <v>0.67</v>
      </c>
      <c r="K87" s="1239">
        <v>0.71</v>
      </c>
      <c r="L87" s="1239">
        <v>0.36</v>
      </c>
      <c r="M87" s="1239">
        <v>0.86</v>
      </c>
      <c r="N87" s="1239">
        <v>0.61</v>
      </c>
      <c r="O87" s="1239">
        <v>0.31</v>
      </c>
      <c r="P87" s="1239">
        <v>0.59</v>
      </c>
      <c r="Q87" s="1240"/>
      <c r="R87" s="1240">
        <f>F87-E87</f>
        <v>0.10627931171602045</v>
      </c>
      <c r="S87" s="1241"/>
      <c r="T87" s="1242"/>
    </row>
    <row r="88" spans="1:20" s="1247" customFormat="1" ht="25.5">
      <c r="A88" s="366"/>
      <c r="B88" s="371" t="s">
        <v>1241</v>
      </c>
      <c r="C88" s="1238" t="s">
        <v>21</v>
      </c>
      <c r="D88" s="1239"/>
      <c r="E88" s="1250">
        <v>149.13</v>
      </c>
      <c r="F88" s="1250">
        <f>F86/E86*100</f>
        <v>130.83749306711036</v>
      </c>
      <c r="G88" s="1250">
        <v>130</v>
      </c>
      <c r="H88" s="1250">
        <v>130</v>
      </c>
      <c r="I88" s="1250">
        <v>130</v>
      </c>
      <c r="J88" s="1250">
        <v>130</v>
      </c>
      <c r="K88" s="1250">
        <v>130</v>
      </c>
      <c r="L88" s="1250">
        <v>140</v>
      </c>
      <c r="M88" s="1250">
        <v>130</v>
      </c>
      <c r="N88" s="1250">
        <v>130</v>
      </c>
      <c r="O88" s="1250">
        <v>140</v>
      </c>
      <c r="P88" s="1250">
        <v>130</v>
      </c>
      <c r="Q88" s="1240"/>
      <c r="R88" s="1240">
        <f>F88-E88</f>
        <v>-18.292506932889637</v>
      </c>
      <c r="S88" s="1241"/>
      <c r="T88" s="1242"/>
    </row>
  </sheetData>
  <sheetProtection/>
  <mergeCells count="52">
    <mergeCell ref="R6:R7"/>
    <mergeCell ref="G6:G7"/>
    <mergeCell ref="H6:H7"/>
    <mergeCell ref="I6:I7"/>
    <mergeCell ref="J6:J7"/>
    <mergeCell ref="K6:K7"/>
    <mergeCell ref="L6:L7"/>
    <mergeCell ref="M6:M7"/>
    <mergeCell ref="N6:N7"/>
    <mergeCell ref="O6:O7"/>
    <mergeCell ref="P6:P7"/>
    <mergeCell ref="Q6:Q7"/>
    <mergeCell ref="IO3:IV3"/>
    <mergeCell ref="A4:P4"/>
    <mergeCell ref="A5:A7"/>
    <mergeCell ref="B5:B7"/>
    <mergeCell ref="C5:C7"/>
    <mergeCell ref="D5:D7"/>
    <mergeCell ref="E5:E7"/>
    <mergeCell ref="F5:F7"/>
    <mergeCell ref="HI3:HP3"/>
    <mergeCell ref="HQ3:HX3"/>
    <mergeCell ref="FE3:FL3"/>
    <mergeCell ref="FM3:FT3"/>
    <mergeCell ref="FU3:GB3"/>
    <mergeCell ref="GC3:GJ3"/>
    <mergeCell ref="G5:P5"/>
    <mergeCell ref="Q5:R5"/>
    <mergeCell ref="GS3:GZ3"/>
    <mergeCell ref="HA3:HH3"/>
    <mergeCell ref="BM3:BT3"/>
    <mergeCell ref="BU3:CB3"/>
    <mergeCell ref="CC3:CJ3"/>
    <mergeCell ref="CK3:CR3"/>
    <mergeCell ref="CS3:CZ3"/>
    <mergeCell ref="BE3:BL3"/>
    <mergeCell ref="HY3:IF3"/>
    <mergeCell ref="IG3:IN3"/>
    <mergeCell ref="GK3:GR3"/>
    <mergeCell ref="DA3:DH3"/>
    <mergeCell ref="DI3:DP3"/>
    <mergeCell ref="DQ3:DX3"/>
    <mergeCell ref="DY3:EF3"/>
    <mergeCell ref="EG3:EN3"/>
    <mergeCell ref="EO3:EV3"/>
    <mergeCell ref="EW3:FD3"/>
    <mergeCell ref="A2:R2"/>
    <mergeCell ref="A3:R3"/>
    <mergeCell ref="Y3:AF3"/>
    <mergeCell ref="AG3:AN3"/>
    <mergeCell ref="AO3:AV3"/>
    <mergeCell ref="AW3:BD3"/>
  </mergeCells>
  <printOptions horizontalCentered="1"/>
  <pageMargins left="0.33" right="0.1968503937007874" top="0.64" bottom="0.46" header="0.1968503937007874" footer="0.19"/>
  <pageSetup horizontalDpi="600" verticalDpi="600" orientation="landscape" paperSize="9" scale="95" r:id="rId3"/>
  <headerFooter alignWithMargins="0">
    <oddFooter>&amp;C &amp;P/&amp;N</oddFooter>
  </headerFooter>
  <colBreaks count="1" manualBreakCount="1">
    <brk id="18" max="71" man="1"/>
  </colBreaks>
  <legacyDrawing r:id="rId2"/>
</worksheet>
</file>

<file path=xl/worksheets/sheet7.xml><?xml version="1.0" encoding="utf-8"?>
<worksheet xmlns="http://schemas.openxmlformats.org/spreadsheetml/2006/main" xmlns:r="http://schemas.openxmlformats.org/officeDocument/2006/relationships">
  <sheetPr>
    <tabColor rgb="FFFF0000"/>
  </sheetPr>
  <dimension ref="A1:S131"/>
  <sheetViews>
    <sheetView view="pageBreakPreview" zoomScale="140" zoomScaleNormal="85" zoomScaleSheetLayoutView="140" zoomScalePageLayoutView="0" workbookViewId="0" topLeftCell="A51">
      <selection activeCell="D87" sqref="D87"/>
    </sheetView>
  </sheetViews>
  <sheetFormatPr defaultColWidth="8.625" defaultRowHeight="15.75"/>
  <cols>
    <col min="1" max="1" width="4.125" style="405" customWidth="1"/>
    <col min="2" max="2" width="37.875" style="405" customWidth="1"/>
    <col min="3" max="5" width="9.00390625" style="405" customWidth="1"/>
    <col min="6" max="6" width="8.00390625" style="405" customWidth="1"/>
    <col min="7" max="7" width="7.875" style="405" customWidth="1"/>
    <col min="8" max="13" width="9.00390625" style="405" hidden="1" customWidth="1"/>
    <col min="14" max="16384" width="8.625" style="405" customWidth="1"/>
  </cols>
  <sheetData>
    <row r="1" spans="1:7" ht="16.5">
      <c r="A1" s="403" t="s">
        <v>653</v>
      </c>
      <c r="B1" s="404"/>
      <c r="C1" s="404"/>
      <c r="D1" s="404"/>
      <c r="E1" s="404"/>
      <c r="F1" s="404"/>
      <c r="G1" s="404"/>
    </row>
    <row r="2" spans="1:7" ht="18.75" customHeight="1">
      <c r="A2" s="1349" t="s">
        <v>1242</v>
      </c>
      <c r="B2" s="1349"/>
      <c r="C2" s="1349"/>
      <c r="D2" s="1349"/>
      <c r="E2" s="1349"/>
      <c r="F2" s="1349"/>
      <c r="G2" s="1349"/>
    </row>
    <row r="3" spans="1:7" ht="21" customHeight="1">
      <c r="A3" s="1339" t="s">
        <v>1199</v>
      </c>
      <c r="B3" s="1339"/>
      <c r="C3" s="1339"/>
      <c r="D3" s="1339"/>
      <c r="E3" s="1339"/>
      <c r="F3" s="1339"/>
      <c r="G3" s="1339"/>
    </row>
    <row r="4" spans="1:7" ht="21.75" customHeight="1">
      <c r="A4" s="406"/>
      <c r="B4" s="406"/>
      <c r="C4" s="407"/>
      <c r="D4" s="407"/>
      <c r="E4" s="1350" t="s">
        <v>654</v>
      </c>
      <c r="F4" s="1350"/>
      <c r="G4" s="1350"/>
    </row>
    <row r="5" spans="1:7" s="346" customFormat="1" ht="20.25" customHeight="1">
      <c r="A5" s="1351" t="s">
        <v>655</v>
      </c>
      <c r="B5" s="1352" t="s">
        <v>656</v>
      </c>
      <c r="C5" s="1351" t="s">
        <v>1179</v>
      </c>
      <c r="D5" s="1351" t="s">
        <v>1177</v>
      </c>
      <c r="E5" s="1351" t="s">
        <v>1174</v>
      </c>
      <c r="F5" s="1353" t="s">
        <v>548</v>
      </c>
      <c r="G5" s="1354"/>
    </row>
    <row r="6" spans="1:7" s="346" customFormat="1" ht="30" customHeight="1">
      <c r="A6" s="1351"/>
      <c r="B6" s="1352"/>
      <c r="C6" s="1351"/>
      <c r="D6" s="1351"/>
      <c r="E6" s="1351"/>
      <c r="F6" s="1029" t="s">
        <v>1346</v>
      </c>
      <c r="G6" s="1029" t="s">
        <v>1347</v>
      </c>
    </row>
    <row r="7" spans="1:7" s="818" customFormat="1" ht="18" customHeight="1">
      <c r="A7" s="854" t="s">
        <v>48</v>
      </c>
      <c r="B7" s="1219" t="s">
        <v>1348</v>
      </c>
      <c r="C7" s="877">
        <v>4</v>
      </c>
      <c r="D7" s="877">
        <v>4</v>
      </c>
      <c r="E7" s="877">
        <v>4</v>
      </c>
      <c r="F7" s="1220"/>
      <c r="G7" s="1220"/>
    </row>
    <row r="8" spans="1:14" s="818" customFormat="1" ht="18" customHeight="1">
      <c r="A8" s="1014" t="s">
        <v>91</v>
      </c>
      <c r="B8" s="1221" t="s">
        <v>1349</v>
      </c>
      <c r="C8" s="1032">
        <f>SUM(C9:C15)</f>
        <v>10482</v>
      </c>
      <c r="D8" s="1032">
        <f>SUM(D9:D15)</f>
        <v>11302</v>
      </c>
      <c r="E8" s="1032">
        <f>SUM(E9:E15)</f>
        <v>12470</v>
      </c>
      <c r="F8" s="1222">
        <f aca="true" t="shared" si="0" ref="F8:G15">D8/C8*100</f>
        <v>107.82293455447433</v>
      </c>
      <c r="G8" s="1222">
        <f t="shared" si="0"/>
        <v>110.33445407892408</v>
      </c>
      <c r="H8" s="1223">
        <f>C8-C16</f>
        <v>0</v>
      </c>
      <c r="N8" s="818">
        <f>E8/D8*100</f>
        <v>110.33445407892408</v>
      </c>
    </row>
    <row r="9" spans="1:17" s="348" customFormat="1" ht="15" customHeight="1">
      <c r="A9" s="1030"/>
      <c r="B9" s="881" t="s">
        <v>1243</v>
      </c>
      <c r="C9" s="408">
        <f>C20+C31+C68</f>
        <v>428</v>
      </c>
      <c r="D9" s="408">
        <f>D20+D31+D68</f>
        <v>293</v>
      </c>
      <c r="E9" s="408">
        <f>E20+E31+E68</f>
        <v>540</v>
      </c>
      <c r="F9" s="409">
        <f t="shared" si="0"/>
        <v>68.45794392523365</v>
      </c>
      <c r="G9" s="409">
        <f t="shared" si="0"/>
        <v>184.30034129692834</v>
      </c>
      <c r="N9" s="356"/>
      <c r="O9" s="356"/>
      <c r="P9" s="356"/>
      <c r="Q9" s="410"/>
    </row>
    <row r="10" spans="1:17" s="348" customFormat="1" ht="15" customHeight="1">
      <c r="A10" s="1030"/>
      <c r="B10" s="881" t="s">
        <v>1244</v>
      </c>
      <c r="C10" s="412">
        <f>C39+C53+C70+C72</f>
        <v>87</v>
      </c>
      <c r="D10" s="412">
        <f>D39+D53+D70+D72</f>
        <v>193</v>
      </c>
      <c r="E10" s="412">
        <f>E39+E53+E70+E72</f>
        <v>485</v>
      </c>
      <c r="F10" s="409">
        <f t="shared" si="0"/>
        <v>221.83908045977012</v>
      </c>
      <c r="G10" s="409">
        <f t="shared" si="0"/>
        <v>251.29533678756476</v>
      </c>
      <c r="N10" s="356"/>
      <c r="O10" s="397"/>
      <c r="P10" s="356"/>
      <c r="Q10" s="356"/>
    </row>
    <row r="11" spans="1:17" s="348" customFormat="1" ht="15" customHeight="1">
      <c r="A11" s="1030"/>
      <c r="B11" s="881" t="s">
        <v>1245</v>
      </c>
      <c r="C11" s="412">
        <f>C74+C85</f>
        <v>720</v>
      </c>
      <c r="D11" s="412">
        <f>D74+D85</f>
        <v>460</v>
      </c>
      <c r="E11" s="412">
        <f>E74+E85</f>
        <v>420</v>
      </c>
      <c r="F11" s="409">
        <f t="shared" si="0"/>
        <v>63.888888888888886</v>
      </c>
      <c r="G11" s="409">
        <f t="shared" si="0"/>
        <v>91.30434782608695</v>
      </c>
      <c r="N11" s="356"/>
      <c r="O11" s="397"/>
      <c r="P11" s="356"/>
      <c r="Q11" s="356"/>
    </row>
    <row r="12" spans="1:17" s="348" customFormat="1" ht="15" customHeight="1">
      <c r="A12" s="1030"/>
      <c r="B12" s="881" t="s">
        <v>1246</v>
      </c>
      <c r="C12" s="408">
        <f>C24+C59+C79</f>
        <v>491</v>
      </c>
      <c r="D12" s="408">
        <f>D24+D59+D79</f>
        <v>879</v>
      </c>
      <c r="E12" s="408">
        <f>E24+E59+E79</f>
        <v>1850</v>
      </c>
      <c r="F12" s="409">
        <f t="shared" si="0"/>
        <v>179.0224032586558</v>
      </c>
      <c r="G12" s="409">
        <f t="shared" si="0"/>
        <v>210.4664391353811</v>
      </c>
      <c r="N12" s="356"/>
      <c r="O12" s="356"/>
      <c r="P12" s="356"/>
      <c r="Q12" s="356"/>
    </row>
    <row r="13" spans="1:17" s="348" customFormat="1" ht="15" customHeight="1">
      <c r="A13" s="1030"/>
      <c r="B13" s="881" t="s">
        <v>1247</v>
      </c>
      <c r="C13" s="408">
        <f>C58+C87</f>
        <v>7929</v>
      </c>
      <c r="D13" s="408">
        <f>D58+D87</f>
        <v>8851</v>
      </c>
      <c r="E13" s="408">
        <f>E58+E87</f>
        <v>8315</v>
      </c>
      <c r="F13" s="409">
        <f t="shared" si="0"/>
        <v>111.62820027746247</v>
      </c>
      <c r="G13" s="409">
        <f t="shared" si="0"/>
        <v>93.9441870975031</v>
      </c>
      <c r="N13" s="356"/>
      <c r="O13" s="410"/>
      <c r="P13" s="410"/>
      <c r="Q13" s="410"/>
    </row>
    <row r="14" spans="1:15" s="348" customFormat="1" ht="15" customHeight="1">
      <c r="A14" s="1030"/>
      <c r="B14" s="881" t="s">
        <v>1248</v>
      </c>
      <c r="C14" s="408">
        <f>C27+C61</f>
        <v>253</v>
      </c>
      <c r="D14" s="408">
        <f>D27+D61</f>
        <v>315</v>
      </c>
      <c r="E14" s="408">
        <f>E27+E61</f>
        <v>250</v>
      </c>
      <c r="F14" s="409">
        <f t="shared" si="0"/>
        <v>124.50592885375494</v>
      </c>
      <c r="G14" s="409">
        <f t="shared" si="0"/>
        <v>79.36507936507937</v>
      </c>
      <c r="O14" s="410"/>
    </row>
    <row r="15" spans="1:19" s="348" customFormat="1" ht="14.25" customHeight="1">
      <c r="A15" s="1030"/>
      <c r="B15" s="881" t="s">
        <v>1249</v>
      </c>
      <c r="C15" s="408">
        <f>C28+C62+C81</f>
        <v>574</v>
      </c>
      <c r="D15" s="408">
        <f>D28+D62+D81</f>
        <v>311</v>
      </c>
      <c r="E15" s="408">
        <f>E28+E62+E81</f>
        <v>610</v>
      </c>
      <c r="F15" s="409">
        <f t="shared" si="0"/>
        <v>54.181184668989545</v>
      </c>
      <c r="G15" s="409">
        <f t="shared" si="0"/>
        <v>196.14147909967846</v>
      </c>
      <c r="N15" s="356"/>
      <c r="O15" s="411"/>
      <c r="P15" s="356"/>
      <c r="S15" s="356"/>
    </row>
    <row r="16" spans="1:7" s="351" customFormat="1" ht="20.25" customHeight="1">
      <c r="A16" s="1031"/>
      <c r="B16" s="1224" t="s">
        <v>1350</v>
      </c>
      <c r="C16" s="1032">
        <f>C17+C29+C63+C87</f>
        <v>10482</v>
      </c>
      <c r="D16" s="1032">
        <f>D17+D29+D63+D87</f>
        <v>11302</v>
      </c>
      <c r="E16" s="1032">
        <f>E17+E29+E63+E87</f>
        <v>12470</v>
      </c>
      <c r="F16" s="1033"/>
      <c r="G16" s="1033"/>
    </row>
    <row r="17" spans="1:18" s="528" customFormat="1" ht="14.25" customHeight="1">
      <c r="A17" s="1038" t="s">
        <v>107</v>
      </c>
      <c r="B17" s="1020" t="s">
        <v>657</v>
      </c>
      <c r="C17" s="1052">
        <f>C18+C25</f>
        <v>785</v>
      </c>
      <c r="D17" s="1052">
        <f>D18+D25</f>
        <v>845</v>
      </c>
      <c r="E17" s="1052">
        <f>E18+E25</f>
        <v>1540</v>
      </c>
      <c r="F17" s="1048">
        <f aca="true" t="shared" si="1" ref="F17:G28">D17/C17*100</f>
        <v>107.64331210191082</v>
      </c>
      <c r="G17" s="1048">
        <f t="shared" si="1"/>
        <v>182.24852071005918</v>
      </c>
      <c r="N17" s="1183" t="s">
        <v>1250</v>
      </c>
      <c r="O17" s="1184"/>
      <c r="P17" s="1185"/>
      <c r="Q17" s="1185"/>
      <c r="R17" s="1185"/>
    </row>
    <row r="18" spans="1:18" s="348" customFormat="1" ht="14.25" customHeight="1">
      <c r="A18" s="1186">
        <v>1</v>
      </c>
      <c r="B18" s="1020" t="s">
        <v>658</v>
      </c>
      <c r="C18" s="1187">
        <f>C19+C24</f>
        <v>563</v>
      </c>
      <c r="D18" s="1187">
        <f>D19+D24</f>
        <v>496</v>
      </c>
      <c r="E18" s="1187">
        <f>E19+E24</f>
        <v>1240</v>
      </c>
      <c r="F18" s="1048">
        <f t="shared" si="1"/>
        <v>88.09946714031972</v>
      </c>
      <c r="G18" s="1048">
        <f t="shared" si="1"/>
        <v>250</v>
      </c>
      <c r="N18" s="1183"/>
      <c r="O18" s="1184"/>
      <c r="P18" s="1188"/>
      <c r="Q18" s="1188"/>
      <c r="R18" s="1188"/>
    </row>
    <row r="19" spans="1:18" s="348" customFormat="1" ht="14.25" customHeight="1">
      <c r="A19" s="1186" t="s">
        <v>538</v>
      </c>
      <c r="B19" s="1020" t="s">
        <v>659</v>
      </c>
      <c r="C19" s="1187">
        <f>C20</f>
        <v>228</v>
      </c>
      <c r="D19" s="1187">
        <f>D20</f>
        <v>162</v>
      </c>
      <c r="E19" s="1187">
        <f>E20</f>
        <v>240</v>
      </c>
      <c r="F19" s="1048">
        <f t="shared" si="1"/>
        <v>71.05263157894737</v>
      </c>
      <c r="G19" s="1048">
        <f t="shared" si="1"/>
        <v>148.14814814814815</v>
      </c>
      <c r="N19" s="1189"/>
      <c r="O19" s="1184"/>
      <c r="P19" s="1188"/>
      <c r="Q19" s="1188"/>
      <c r="R19" s="1188"/>
    </row>
    <row r="20" spans="1:18" s="348" customFormat="1" ht="14.25" customHeight="1">
      <c r="A20" s="1190"/>
      <c r="B20" s="881" t="s">
        <v>701</v>
      </c>
      <c r="C20" s="1191">
        <v>228</v>
      </c>
      <c r="D20" s="1191">
        <v>162</v>
      </c>
      <c r="E20" s="1191">
        <v>240</v>
      </c>
      <c r="F20" s="1058">
        <f t="shared" si="1"/>
        <v>71.05263157894737</v>
      </c>
      <c r="G20" s="1058">
        <f t="shared" si="1"/>
        <v>148.14814814814815</v>
      </c>
      <c r="H20" s="348">
        <v>1818</v>
      </c>
      <c r="N20" s="1192"/>
      <c r="O20" s="1184"/>
      <c r="P20" s="1188"/>
      <c r="Q20" s="1185"/>
      <c r="R20" s="1185"/>
    </row>
    <row r="21" spans="1:18" s="369" customFormat="1" ht="14.25" customHeight="1">
      <c r="A21" s="1055"/>
      <c r="B21" s="1193" t="s">
        <v>660</v>
      </c>
      <c r="C21" s="1194">
        <v>199</v>
      </c>
      <c r="D21" s="1194">
        <v>152</v>
      </c>
      <c r="E21" s="1194">
        <v>190</v>
      </c>
      <c r="F21" s="1058">
        <f t="shared" si="1"/>
        <v>76.38190954773869</v>
      </c>
      <c r="G21" s="1058">
        <f t="shared" si="1"/>
        <v>125</v>
      </c>
      <c r="N21" s="1195"/>
      <c r="O21" s="1196"/>
      <c r="P21" s="1196"/>
      <c r="Q21" s="1196"/>
      <c r="R21" s="1196"/>
    </row>
    <row r="22" spans="1:18" s="348" customFormat="1" ht="14.25" customHeight="1">
      <c r="A22" s="1190"/>
      <c r="B22" s="881" t="s">
        <v>702</v>
      </c>
      <c r="C22" s="1191">
        <v>0</v>
      </c>
      <c r="D22" s="1191">
        <v>0</v>
      </c>
      <c r="E22" s="1191">
        <v>0</v>
      </c>
      <c r="F22" s="1048"/>
      <c r="G22" s="1048"/>
      <c r="N22" s="1183"/>
      <c r="O22" s="1184"/>
      <c r="P22" s="1197"/>
      <c r="Q22" s="1197"/>
      <c r="R22" s="1197"/>
    </row>
    <row r="23" spans="1:18" s="348" customFormat="1" ht="14.25" customHeight="1">
      <c r="A23" s="1030"/>
      <c r="B23" s="1193" t="s">
        <v>661</v>
      </c>
      <c r="C23" s="1191">
        <v>0</v>
      </c>
      <c r="D23" s="1191">
        <v>0</v>
      </c>
      <c r="E23" s="1191">
        <v>0</v>
      </c>
      <c r="F23" s="1048"/>
      <c r="G23" s="1048"/>
      <c r="N23" s="1189"/>
      <c r="O23" s="1184"/>
      <c r="P23" s="1197"/>
      <c r="Q23" s="1197"/>
      <c r="R23" s="1197"/>
    </row>
    <row r="24" spans="1:18" s="364" customFormat="1" ht="28.5">
      <c r="A24" s="1014" t="s">
        <v>540</v>
      </c>
      <c r="B24" s="855" t="s">
        <v>662</v>
      </c>
      <c r="C24" s="1187">
        <v>335</v>
      </c>
      <c r="D24" s="1187">
        <v>334</v>
      </c>
      <c r="E24" s="1187">
        <v>1000</v>
      </c>
      <c r="F24" s="1048">
        <f t="shared" si="1"/>
        <v>99.70149253731343</v>
      </c>
      <c r="G24" s="1048">
        <f t="shared" si="1"/>
        <v>299.4011976047904</v>
      </c>
      <c r="H24" s="413"/>
      <c r="N24" s="1192"/>
      <c r="O24" s="1184"/>
      <c r="P24" s="1185"/>
      <c r="Q24" s="1185"/>
      <c r="R24" s="1185"/>
    </row>
    <row r="25" spans="1:18" s="348" customFormat="1" ht="14.25" customHeight="1">
      <c r="A25" s="1014">
        <v>2</v>
      </c>
      <c r="B25" s="1020" t="s">
        <v>1251</v>
      </c>
      <c r="C25" s="1187">
        <f>C26</f>
        <v>222</v>
      </c>
      <c r="D25" s="1187">
        <f>D26</f>
        <v>349</v>
      </c>
      <c r="E25" s="1187">
        <f>E26</f>
        <v>300</v>
      </c>
      <c r="F25" s="1048"/>
      <c r="G25" s="1048"/>
      <c r="N25" s="1192"/>
      <c r="O25" s="1184"/>
      <c r="P25" s="1185"/>
      <c r="Q25" s="1185"/>
      <c r="R25" s="1198"/>
    </row>
    <row r="26" spans="1:7" s="348" customFormat="1" ht="14.25" customHeight="1">
      <c r="A26" s="1034" t="s">
        <v>538</v>
      </c>
      <c r="B26" s="1035" t="s">
        <v>1252</v>
      </c>
      <c r="C26" s="1036">
        <f>SUM(C27:C28)</f>
        <v>222</v>
      </c>
      <c r="D26" s="1036">
        <f>SUM(D27:D28)</f>
        <v>349</v>
      </c>
      <c r="E26" s="1036">
        <f>SUM(E27:E28)</f>
        <v>300</v>
      </c>
      <c r="F26" s="1037">
        <f>D26/C26*100</f>
        <v>157.2072072072072</v>
      </c>
      <c r="G26" s="1037">
        <f>E26/D26*100</f>
        <v>85.95988538681948</v>
      </c>
    </row>
    <row r="27" spans="1:12" s="348" customFormat="1" ht="14.25" customHeight="1">
      <c r="A27" s="1190"/>
      <c r="B27" s="881" t="s">
        <v>1253</v>
      </c>
      <c r="C27" s="1191">
        <v>116</v>
      </c>
      <c r="D27" s="1191">
        <v>150</v>
      </c>
      <c r="E27" s="1191">
        <v>100</v>
      </c>
      <c r="F27" s="1058">
        <f t="shared" si="1"/>
        <v>129.31034482758622</v>
      </c>
      <c r="G27" s="1058">
        <f t="shared" si="1"/>
        <v>66.66666666666666</v>
      </c>
      <c r="H27" s="356"/>
      <c r="J27" s="356"/>
      <c r="L27" s="356"/>
    </row>
    <row r="28" spans="1:12" s="348" customFormat="1" ht="14.25" customHeight="1">
      <c r="A28" s="1190"/>
      <c r="B28" s="881" t="s">
        <v>1254</v>
      </c>
      <c r="C28" s="1191">
        <v>106</v>
      </c>
      <c r="D28" s="1191">
        <v>199</v>
      </c>
      <c r="E28" s="1191">
        <v>200</v>
      </c>
      <c r="F28" s="1058">
        <f t="shared" si="1"/>
        <v>187.73584905660377</v>
      </c>
      <c r="G28" s="1058">
        <f t="shared" si="1"/>
        <v>100.50251256281406</v>
      </c>
      <c r="H28" s="356"/>
      <c r="J28" s="356"/>
      <c r="L28" s="356"/>
    </row>
    <row r="29" spans="1:18" s="528" customFormat="1" ht="14.25" customHeight="1">
      <c r="A29" s="1038" t="s">
        <v>117</v>
      </c>
      <c r="B29" s="1020" t="s">
        <v>665</v>
      </c>
      <c r="C29" s="1052">
        <f>C30+C52</f>
        <v>864</v>
      </c>
      <c r="D29" s="1052">
        <f>D30+D52</f>
        <v>1608</v>
      </c>
      <c r="E29" s="1052">
        <f>E30+E52</f>
        <v>2050</v>
      </c>
      <c r="F29" s="1048">
        <f aca="true" t="shared" si="2" ref="F29:G31">D29/C29*100</f>
        <v>186.11111111111111</v>
      </c>
      <c r="G29" s="1048">
        <f t="shared" si="2"/>
        <v>127.48756218905473</v>
      </c>
      <c r="N29" s="1199"/>
      <c r="O29" s="1200"/>
      <c r="P29" s="1201"/>
      <c r="Q29" s="1201"/>
      <c r="R29" s="1201"/>
    </row>
    <row r="30" spans="1:14" s="348" customFormat="1" ht="14.25" customHeight="1">
      <c r="A30" s="1038">
        <v>1</v>
      </c>
      <c r="B30" s="1020" t="s">
        <v>1351</v>
      </c>
      <c r="C30" s="1039">
        <f>C31+C39</f>
        <v>133</v>
      </c>
      <c r="D30" s="1039">
        <f>D31+D39</f>
        <v>93</v>
      </c>
      <c r="E30" s="1039">
        <f>E31+E39</f>
        <v>435</v>
      </c>
      <c r="F30" s="1040">
        <f t="shared" si="2"/>
        <v>69.92481203007519</v>
      </c>
      <c r="G30" s="1040">
        <f t="shared" si="2"/>
        <v>467.741935483871</v>
      </c>
      <c r="H30" s="356"/>
      <c r="J30" s="356"/>
      <c r="L30" s="356"/>
      <c r="N30" s="348" t="s">
        <v>650</v>
      </c>
    </row>
    <row r="31" spans="1:13" s="414" customFormat="1" ht="14.25" customHeight="1">
      <c r="A31" s="1034" t="s">
        <v>538</v>
      </c>
      <c r="B31" s="1041" t="s">
        <v>666</v>
      </c>
      <c r="C31" s="1039">
        <f>SUM(C32:C38)</f>
        <v>118</v>
      </c>
      <c r="D31" s="1039">
        <f>SUM(D32:D38)</f>
        <v>61</v>
      </c>
      <c r="E31" s="1039">
        <f>SUM(E32:E38)</f>
        <v>180</v>
      </c>
      <c r="F31" s="1037">
        <f t="shared" si="2"/>
        <v>51.69491525423729</v>
      </c>
      <c r="G31" s="1037">
        <f t="shared" si="2"/>
        <v>295.08196721311475</v>
      </c>
      <c r="H31" s="415"/>
      <c r="I31" s="415"/>
      <c r="J31" s="415"/>
      <c r="K31" s="415"/>
      <c r="L31" s="415"/>
      <c r="M31" s="415"/>
    </row>
    <row r="32" spans="1:7" s="348" customFormat="1" ht="14.25" customHeight="1">
      <c r="A32" s="1030"/>
      <c r="B32" s="881" t="s">
        <v>667</v>
      </c>
      <c r="C32" s="881">
        <v>0</v>
      </c>
      <c r="D32" s="881">
        <v>4</v>
      </c>
      <c r="E32" s="881">
        <v>25</v>
      </c>
      <c r="F32" s="1042"/>
      <c r="G32" s="1042">
        <f aca="true" t="shared" si="3" ref="G32:G38">E32/D32*100</f>
        <v>625</v>
      </c>
    </row>
    <row r="33" spans="1:13" s="348" customFormat="1" ht="14.25" customHeight="1">
      <c r="A33" s="1030"/>
      <c r="B33" s="881" t="s">
        <v>668</v>
      </c>
      <c r="C33" s="881">
        <v>14</v>
      </c>
      <c r="D33" s="881">
        <v>18</v>
      </c>
      <c r="E33" s="881">
        <v>25</v>
      </c>
      <c r="F33" s="1042">
        <f aca="true" t="shared" si="4" ref="F33:F38">D33/C33*100</f>
        <v>128.57142857142858</v>
      </c>
      <c r="G33" s="1042">
        <f t="shared" si="3"/>
        <v>138.88888888888889</v>
      </c>
      <c r="M33" s="356"/>
    </row>
    <row r="34" spans="1:7" s="348" customFormat="1" ht="14.25" customHeight="1">
      <c r="A34" s="1030"/>
      <c r="B34" s="881" t="s">
        <v>669</v>
      </c>
      <c r="C34" s="1043">
        <v>0</v>
      </c>
      <c r="D34" s="881">
        <v>0</v>
      </c>
      <c r="E34" s="881">
        <v>25</v>
      </c>
      <c r="F34" s="1042"/>
      <c r="G34" s="1042"/>
    </row>
    <row r="35" spans="1:7" s="348" customFormat="1" ht="14.25" customHeight="1">
      <c r="A35" s="1030"/>
      <c r="B35" s="881" t="s">
        <v>670</v>
      </c>
      <c r="C35" s="881">
        <v>5</v>
      </c>
      <c r="D35" s="881">
        <v>4</v>
      </c>
      <c r="E35" s="881">
        <v>25</v>
      </c>
      <c r="F35" s="1042">
        <f t="shared" si="4"/>
        <v>80</v>
      </c>
      <c r="G35" s="1042">
        <f t="shared" si="3"/>
        <v>625</v>
      </c>
    </row>
    <row r="36" spans="1:7" s="348" customFormat="1" ht="14.25" customHeight="1">
      <c r="A36" s="1030"/>
      <c r="B36" s="1044" t="s">
        <v>671</v>
      </c>
      <c r="C36" s="1044">
        <v>5</v>
      </c>
      <c r="D36" s="881">
        <v>0</v>
      </c>
      <c r="E36" s="881">
        <v>25</v>
      </c>
      <c r="F36" s="1042"/>
      <c r="G36" s="1042"/>
    </row>
    <row r="37" spans="1:7" s="348" customFormat="1" ht="14.25" customHeight="1">
      <c r="A37" s="1030"/>
      <c r="B37" s="1044" t="s">
        <v>672</v>
      </c>
      <c r="C37" s="1044">
        <v>11</v>
      </c>
      <c r="D37" s="881">
        <v>8</v>
      </c>
      <c r="E37" s="881">
        <v>25</v>
      </c>
      <c r="F37" s="1042">
        <f t="shared" si="4"/>
        <v>72.72727272727273</v>
      </c>
      <c r="G37" s="1042">
        <f t="shared" si="3"/>
        <v>312.5</v>
      </c>
    </row>
    <row r="38" spans="1:7" s="348" customFormat="1" ht="14.25" customHeight="1">
      <c r="A38" s="1030"/>
      <c r="B38" s="881" t="s">
        <v>673</v>
      </c>
      <c r="C38" s="881">
        <v>83</v>
      </c>
      <c r="D38" s="881">
        <v>27</v>
      </c>
      <c r="E38" s="881">
        <v>30</v>
      </c>
      <c r="F38" s="1042">
        <f t="shared" si="4"/>
        <v>32.53012048192771</v>
      </c>
      <c r="G38" s="1042">
        <f t="shared" si="3"/>
        <v>111.11111111111111</v>
      </c>
    </row>
    <row r="39" spans="1:14" s="364" customFormat="1" ht="14.25" customHeight="1">
      <c r="A39" s="1034" t="s">
        <v>540</v>
      </c>
      <c r="B39" s="1041" t="s">
        <v>674</v>
      </c>
      <c r="C39" s="1039">
        <f>SUM(C40:C51)</f>
        <v>15</v>
      </c>
      <c r="D39" s="1039">
        <f>SUM(D40:D51)</f>
        <v>32</v>
      </c>
      <c r="E39" s="1039">
        <f>SUM(E40:E51)</f>
        <v>255</v>
      </c>
      <c r="F39" s="1040">
        <f>D39/C39*100</f>
        <v>213.33333333333334</v>
      </c>
      <c r="G39" s="1040">
        <f>E39/D39*100</f>
        <v>796.875</v>
      </c>
      <c r="N39" s="413"/>
    </row>
    <row r="40" spans="1:7" s="348" customFormat="1" ht="14.25" customHeight="1">
      <c r="A40" s="1030"/>
      <c r="B40" s="881" t="s">
        <v>675</v>
      </c>
      <c r="C40" s="1044">
        <v>0</v>
      </c>
      <c r="D40" s="1045">
        <v>0</v>
      </c>
      <c r="E40" s="1045">
        <v>20</v>
      </c>
      <c r="F40" s="1042"/>
      <c r="G40" s="1042"/>
    </row>
    <row r="41" spans="1:7" s="348" customFormat="1" ht="14.25" customHeight="1">
      <c r="A41" s="1030"/>
      <c r="B41" s="881" t="s">
        <v>676</v>
      </c>
      <c r="C41" s="881">
        <v>0</v>
      </c>
      <c r="D41" s="1046">
        <v>0</v>
      </c>
      <c r="E41" s="1046">
        <v>20</v>
      </c>
      <c r="F41" s="1042"/>
      <c r="G41" s="1042"/>
    </row>
    <row r="42" spans="1:7" s="348" customFormat="1" ht="14.25" customHeight="1">
      <c r="A42" s="1030"/>
      <c r="B42" s="881" t="s">
        <v>672</v>
      </c>
      <c r="C42" s="881">
        <v>0</v>
      </c>
      <c r="D42" s="1046">
        <v>0</v>
      </c>
      <c r="E42" s="1046">
        <v>25</v>
      </c>
      <c r="F42" s="1042"/>
      <c r="G42" s="1042"/>
    </row>
    <row r="43" spans="1:7" s="348" customFormat="1" ht="14.25" customHeight="1">
      <c r="A43" s="1030"/>
      <c r="B43" s="881" t="s">
        <v>677</v>
      </c>
      <c r="C43" s="1044">
        <v>0</v>
      </c>
      <c r="D43" s="1046">
        <v>0</v>
      </c>
      <c r="E43" s="1046">
        <v>20</v>
      </c>
      <c r="F43" s="1042"/>
      <c r="G43" s="1042"/>
    </row>
    <row r="44" spans="1:7" s="348" customFormat="1" ht="14.25" customHeight="1">
      <c r="A44" s="1030"/>
      <c r="B44" s="881" t="s">
        <v>678</v>
      </c>
      <c r="C44" s="1044">
        <v>0</v>
      </c>
      <c r="D44" s="1046">
        <v>32</v>
      </c>
      <c r="E44" s="1046">
        <v>20</v>
      </c>
      <c r="F44" s="1042"/>
      <c r="G44" s="1042">
        <f>E44/D44*100</f>
        <v>62.5</v>
      </c>
    </row>
    <row r="45" spans="1:7" s="348" customFormat="1" ht="14.25" customHeight="1">
      <c r="A45" s="1030"/>
      <c r="B45" s="881" t="s">
        <v>671</v>
      </c>
      <c r="C45" s="1044">
        <v>0</v>
      </c>
      <c r="D45" s="1046">
        <v>0</v>
      </c>
      <c r="E45" s="1046">
        <v>25</v>
      </c>
      <c r="F45" s="1042"/>
      <c r="G45" s="1042"/>
    </row>
    <row r="46" spans="1:7" s="348" customFormat="1" ht="14.25" customHeight="1">
      <c r="A46" s="1030"/>
      <c r="B46" s="881" t="s">
        <v>679</v>
      </c>
      <c r="C46" s="881">
        <v>0</v>
      </c>
      <c r="D46" s="1046">
        <v>0</v>
      </c>
      <c r="E46" s="1046">
        <v>20</v>
      </c>
      <c r="F46" s="1042"/>
      <c r="G46" s="1042"/>
    </row>
    <row r="47" spans="1:7" s="348" customFormat="1" ht="14.25" customHeight="1">
      <c r="A47" s="1030"/>
      <c r="B47" s="881" t="s">
        <v>667</v>
      </c>
      <c r="C47" s="881">
        <v>0</v>
      </c>
      <c r="D47" s="1046">
        <v>0</v>
      </c>
      <c r="E47" s="1046">
        <v>25</v>
      </c>
      <c r="F47" s="1042"/>
      <c r="G47" s="1042"/>
    </row>
    <row r="48" spans="1:14" s="348" customFormat="1" ht="14.25" customHeight="1">
      <c r="A48" s="1030"/>
      <c r="B48" s="881" t="s">
        <v>680</v>
      </c>
      <c r="C48" s="881">
        <v>15</v>
      </c>
      <c r="D48" s="1046">
        <v>0</v>
      </c>
      <c r="E48" s="1046">
        <v>20</v>
      </c>
      <c r="F48" s="1042"/>
      <c r="G48" s="1042"/>
      <c r="N48" s="348" t="s">
        <v>650</v>
      </c>
    </row>
    <row r="49" spans="1:7" s="414" customFormat="1" ht="14.25" customHeight="1">
      <c r="A49" s="1030"/>
      <c r="B49" s="881" t="s">
        <v>1255</v>
      </c>
      <c r="C49" s="881">
        <v>0</v>
      </c>
      <c r="D49" s="1046">
        <v>0</v>
      </c>
      <c r="E49" s="1046">
        <v>20</v>
      </c>
      <c r="F49" s="1042"/>
      <c r="G49" s="1042"/>
    </row>
    <row r="50" spans="1:7" s="348" customFormat="1" ht="14.25" customHeight="1">
      <c r="A50" s="1030"/>
      <c r="B50" s="881" t="s">
        <v>1256</v>
      </c>
      <c r="C50" s="881">
        <v>0</v>
      </c>
      <c r="D50" s="1046">
        <v>0</v>
      </c>
      <c r="E50" s="1046">
        <v>20</v>
      </c>
      <c r="F50" s="1042"/>
      <c r="G50" s="1042"/>
    </row>
    <row r="51" spans="1:7" s="348" customFormat="1" ht="14.25" customHeight="1">
      <c r="A51" s="1030"/>
      <c r="B51" s="881" t="s">
        <v>681</v>
      </c>
      <c r="C51" s="881">
        <v>0</v>
      </c>
      <c r="D51" s="1046">
        <v>0</v>
      </c>
      <c r="E51" s="1046">
        <v>20</v>
      </c>
      <c r="F51" s="1042"/>
      <c r="G51" s="1042"/>
    </row>
    <row r="52" spans="1:7" s="348" customFormat="1" ht="14.25" customHeight="1">
      <c r="A52" s="1038">
        <v>2</v>
      </c>
      <c r="B52" s="1020" t="s">
        <v>682</v>
      </c>
      <c r="C52" s="1047">
        <f>C53+C58+C59+C60</f>
        <v>731</v>
      </c>
      <c r="D52" s="1047">
        <f>D53+D58+D59+D60</f>
        <v>1515</v>
      </c>
      <c r="E52" s="1047">
        <f>E53+E58+E59+E60</f>
        <v>1615</v>
      </c>
      <c r="F52" s="1048">
        <f>D52/C52*100</f>
        <v>207.25034199726403</v>
      </c>
      <c r="G52" s="1048">
        <f>E52/D52*100</f>
        <v>106.6006600660066</v>
      </c>
    </row>
    <row r="53" spans="1:7" s="364" customFormat="1" ht="14.25" customHeight="1">
      <c r="A53" s="1034" t="s">
        <v>538</v>
      </c>
      <c r="B53" s="1041" t="s">
        <v>674</v>
      </c>
      <c r="C53" s="1039">
        <f>SUM(C54:C57)</f>
        <v>0</v>
      </c>
      <c r="D53" s="1039">
        <f>SUM(D54:D57)</f>
        <v>38</v>
      </c>
      <c r="E53" s="1039">
        <f>SUM(E54:E57)</f>
        <v>100</v>
      </c>
      <c r="F53" s="1042"/>
      <c r="G53" s="1042">
        <f aca="true" t="shared" si="5" ref="G53:G61">E53/D53*100</f>
        <v>263.15789473684214</v>
      </c>
    </row>
    <row r="54" spans="1:7" s="364" customFormat="1" ht="14.25" customHeight="1">
      <c r="A54" s="1030"/>
      <c r="B54" s="881" t="s">
        <v>676</v>
      </c>
      <c r="C54" s="1044">
        <v>0</v>
      </c>
      <c r="D54" s="1045">
        <v>38</v>
      </c>
      <c r="E54" s="1045">
        <v>25</v>
      </c>
      <c r="F54" s="1042"/>
      <c r="G54" s="1042">
        <f t="shared" si="5"/>
        <v>65.78947368421053</v>
      </c>
    </row>
    <row r="55" spans="1:7" s="348" customFormat="1" ht="14.25" customHeight="1">
      <c r="A55" s="1030"/>
      <c r="B55" s="881" t="s">
        <v>677</v>
      </c>
      <c r="C55" s="1044">
        <v>0</v>
      </c>
      <c r="D55" s="1045">
        <v>0</v>
      </c>
      <c r="E55" s="1045">
        <v>25</v>
      </c>
      <c r="F55" s="1042"/>
      <c r="G55" s="1042"/>
    </row>
    <row r="56" spans="1:7" s="348" customFormat="1" ht="14.25" customHeight="1">
      <c r="A56" s="1030"/>
      <c r="B56" s="881" t="s">
        <v>678</v>
      </c>
      <c r="C56" s="1044">
        <v>0</v>
      </c>
      <c r="D56" s="1045">
        <v>0</v>
      </c>
      <c r="E56" s="1045">
        <v>25</v>
      </c>
      <c r="F56" s="1042"/>
      <c r="G56" s="1042"/>
    </row>
    <row r="57" spans="1:7" s="348" customFormat="1" ht="14.25" customHeight="1">
      <c r="A57" s="1030"/>
      <c r="B57" s="881" t="s">
        <v>683</v>
      </c>
      <c r="C57" s="1044">
        <v>0</v>
      </c>
      <c r="D57" s="1045">
        <v>0</v>
      </c>
      <c r="E57" s="1045">
        <v>25</v>
      </c>
      <c r="F57" s="1042"/>
      <c r="G57" s="1042"/>
    </row>
    <row r="58" spans="1:7" s="348" customFormat="1" ht="14.25" customHeight="1">
      <c r="A58" s="1034" t="s">
        <v>540</v>
      </c>
      <c r="B58" s="1041" t="s">
        <v>1257</v>
      </c>
      <c r="C58" s="1049">
        <v>35</v>
      </c>
      <c r="D58" s="1036">
        <f>821+35</f>
        <v>856</v>
      </c>
      <c r="E58" s="1036">
        <v>315</v>
      </c>
      <c r="F58" s="1050">
        <f>D58/C58*100</f>
        <v>2445.7142857142853</v>
      </c>
      <c r="G58" s="1050">
        <f>E58/D58*100</f>
        <v>36.79906542056075</v>
      </c>
    </row>
    <row r="59" spans="1:7" s="348" customFormat="1" ht="14.25" customHeight="1">
      <c r="A59" s="1034" t="s">
        <v>541</v>
      </c>
      <c r="B59" s="1041" t="s">
        <v>684</v>
      </c>
      <c r="C59" s="1039">
        <v>91</v>
      </c>
      <c r="D59" s="1051">
        <f>64+280</f>
        <v>344</v>
      </c>
      <c r="E59" s="1039">
        <v>700</v>
      </c>
      <c r="F59" s="1042">
        <f aca="true" t="shared" si="6" ref="F59:G74">D59/C59*100</f>
        <v>378.021978021978</v>
      </c>
      <c r="G59" s="1042">
        <f t="shared" si="5"/>
        <v>203.48837209302326</v>
      </c>
    </row>
    <row r="60" spans="1:7" s="348" customFormat="1" ht="14.25" customHeight="1">
      <c r="A60" s="1034" t="s">
        <v>1258</v>
      </c>
      <c r="B60" s="1035" t="s">
        <v>1252</v>
      </c>
      <c r="C60" s="1036">
        <f>C61+C62</f>
        <v>605</v>
      </c>
      <c r="D60" s="1036">
        <f>D61+D62</f>
        <v>277</v>
      </c>
      <c r="E60" s="1036">
        <f>E61+E62</f>
        <v>500</v>
      </c>
      <c r="F60" s="1042">
        <f t="shared" si="6"/>
        <v>45.78512396694215</v>
      </c>
      <c r="G60" s="1042">
        <f>E60/D60*100</f>
        <v>180.50541516245485</v>
      </c>
    </row>
    <row r="61" spans="1:14" s="348" customFormat="1" ht="14.25" customHeight="1">
      <c r="A61" s="1030"/>
      <c r="B61" s="881" t="s">
        <v>663</v>
      </c>
      <c r="C61" s="1044">
        <v>137</v>
      </c>
      <c r="D61" s="1045">
        <v>165</v>
      </c>
      <c r="E61" s="1045">
        <v>150</v>
      </c>
      <c r="F61" s="1042">
        <f t="shared" si="6"/>
        <v>120.43795620437956</v>
      </c>
      <c r="G61" s="1042">
        <f t="shared" si="5"/>
        <v>90.9090909090909</v>
      </c>
      <c r="N61" s="348" t="s">
        <v>1259</v>
      </c>
    </row>
    <row r="62" spans="1:14" s="348" customFormat="1" ht="14.25" customHeight="1">
      <c r="A62" s="1030"/>
      <c r="B62" s="881" t="s">
        <v>664</v>
      </c>
      <c r="C62" s="1044">
        <v>468</v>
      </c>
      <c r="D62" s="1045">
        <v>112</v>
      </c>
      <c r="E62" s="1045">
        <v>350</v>
      </c>
      <c r="F62" s="1042">
        <f t="shared" si="6"/>
        <v>23.931623931623932</v>
      </c>
      <c r="G62" s="1042">
        <f>E62/D62*100</f>
        <v>312.5</v>
      </c>
      <c r="N62" s="348" t="s">
        <v>1259</v>
      </c>
    </row>
    <row r="63" spans="1:18" s="528" customFormat="1" ht="14.25" customHeight="1">
      <c r="A63" s="1038" t="s">
        <v>122</v>
      </c>
      <c r="B63" s="1020" t="s">
        <v>685</v>
      </c>
      <c r="C63" s="1052">
        <f>C64+C80</f>
        <v>939</v>
      </c>
      <c r="D63" s="1052">
        <f>D64+D80</f>
        <v>854</v>
      </c>
      <c r="E63" s="1052">
        <f>E64+E80</f>
        <v>880</v>
      </c>
      <c r="F63" s="1048">
        <f t="shared" si="6"/>
        <v>90.94781682641107</v>
      </c>
      <c r="G63" s="1048">
        <f>E63/D63*100</f>
        <v>103.04449648711945</v>
      </c>
      <c r="N63" s="1199"/>
      <c r="O63" s="1200"/>
      <c r="P63" s="1201"/>
      <c r="Q63" s="1201"/>
      <c r="R63" s="1201"/>
    </row>
    <row r="64" spans="1:7" s="528" customFormat="1" ht="14.25" customHeight="1">
      <c r="A64" s="1038">
        <v>1</v>
      </c>
      <c r="B64" s="1020" t="s">
        <v>658</v>
      </c>
      <c r="C64" s="1052">
        <f>+C65+C74+C79</f>
        <v>889</v>
      </c>
      <c r="D64" s="1052">
        <f>+D65+D74+D79</f>
        <v>794</v>
      </c>
      <c r="E64" s="1052">
        <f>+E65+E74+E79</f>
        <v>770</v>
      </c>
      <c r="F64" s="1048">
        <f t="shared" si="6"/>
        <v>89.31383577052868</v>
      </c>
      <c r="G64" s="1048">
        <f>E64/D64*100</f>
        <v>96.97732997481108</v>
      </c>
    </row>
    <row r="65" spans="1:7" s="529" customFormat="1" ht="14.25" customHeight="1">
      <c r="A65" s="1053" t="s">
        <v>538</v>
      </c>
      <c r="B65" s="1035" t="s">
        <v>659</v>
      </c>
      <c r="C65" s="1054">
        <f aca="true" t="shared" si="7" ref="C65:E66">+C68+C70+C72</f>
        <v>154</v>
      </c>
      <c r="D65" s="1054">
        <f t="shared" si="7"/>
        <v>193</v>
      </c>
      <c r="E65" s="1054">
        <f t="shared" si="7"/>
        <v>250</v>
      </c>
      <c r="F65" s="1048">
        <f t="shared" si="6"/>
        <v>125.32467532467533</v>
      </c>
      <c r="G65" s="1048">
        <f t="shared" si="6"/>
        <v>129.5336787564767</v>
      </c>
    </row>
    <row r="66" spans="1:7" s="401" customFormat="1" ht="14.25" customHeight="1">
      <c r="A66" s="1055"/>
      <c r="B66" s="1056" t="s">
        <v>686</v>
      </c>
      <c r="C66" s="1057">
        <f t="shared" si="7"/>
        <v>51</v>
      </c>
      <c r="D66" s="1057">
        <f t="shared" si="7"/>
        <v>137</v>
      </c>
      <c r="E66" s="1057">
        <f t="shared" si="7"/>
        <v>46</v>
      </c>
      <c r="F66" s="1058">
        <f t="shared" si="6"/>
        <v>268.62745098039215</v>
      </c>
      <c r="G66" s="1058">
        <f t="shared" si="6"/>
        <v>33.57664233576642</v>
      </c>
    </row>
    <row r="67" spans="1:7" s="348" customFormat="1" ht="14.25" customHeight="1">
      <c r="A67" s="1053" t="s">
        <v>687</v>
      </c>
      <c r="B67" s="1035" t="s">
        <v>688</v>
      </c>
      <c r="C67" s="1052"/>
      <c r="D67" s="1052"/>
      <c r="E67" s="1052"/>
      <c r="F67" s="1058"/>
      <c r="G67" s="1058"/>
    </row>
    <row r="68" spans="1:7" s="348" customFormat="1" ht="14.25" customHeight="1">
      <c r="A68" s="1030"/>
      <c r="B68" s="1059" t="s">
        <v>689</v>
      </c>
      <c r="C68" s="1202">
        <v>82</v>
      </c>
      <c r="D68" s="1202">
        <v>70</v>
      </c>
      <c r="E68" s="1046">
        <v>120</v>
      </c>
      <c r="F68" s="1058">
        <f t="shared" si="6"/>
        <v>85.36585365853658</v>
      </c>
      <c r="G68" s="1058">
        <f t="shared" si="6"/>
        <v>171.42857142857142</v>
      </c>
    </row>
    <row r="69" spans="1:7" s="401" customFormat="1" ht="14.25" customHeight="1">
      <c r="A69" s="1055"/>
      <c r="B69" s="1056" t="s">
        <v>686</v>
      </c>
      <c r="C69" s="1202">
        <v>21</v>
      </c>
      <c r="D69" s="1202">
        <v>45</v>
      </c>
      <c r="E69" s="1057">
        <v>14</v>
      </c>
      <c r="F69" s="1058">
        <f t="shared" si="6"/>
        <v>214.28571428571428</v>
      </c>
      <c r="G69" s="1058">
        <f t="shared" si="6"/>
        <v>31.11111111111111</v>
      </c>
    </row>
    <row r="70" spans="1:7" s="348" customFormat="1" ht="14.25" customHeight="1">
      <c r="A70" s="1060"/>
      <c r="B70" s="1059" t="s">
        <v>690</v>
      </c>
      <c r="C70" s="1046">
        <v>28</v>
      </c>
      <c r="D70" s="1046">
        <v>88</v>
      </c>
      <c r="E70" s="1046">
        <v>80</v>
      </c>
      <c r="F70" s="1058">
        <f t="shared" si="6"/>
        <v>314.2857142857143</v>
      </c>
      <c r="G70" s="1058">
        <f t="shared" si="6"/>
        <v>90.9090909090909</v>
      </c>
    </row>
    <row r="71" spans="1:7" s="401" customFormat="1" ht="14.25" customHeight="1">
      <c r="A71" s="1055"/>
      <c r="B71" s="1056" t="s">
        <v>686</v>
      </c>
      <c r="C71" s="1057">
        <v>23</v>
      </c>
      <c r="D71" s="1057">
        <v>83</v>
      </c>
      <c r="E71" s="1057">
        <v>28</v>
      </c>
      <c r="F71" s="1058">
        <f t="shared" si="6"/>
        <v>360.8695652173913</v>
      </c>
      <c r="G71" s="1058">
        <f t="shared" si="6"/>
        <v>33.734939759036145</v>
      </c>
    </row>
    <row r="72" spans="1:7" s="348" customFormat="1" ht="14.25" customHeight="1">
      <c r="A72" s="1060"/>
      <c r="B72" s="1059" t="s">
        <v>691</v>
      </c>
      <c r="C72" s="1046">
        <v>44</v>
      </c>
      <c r="D72" s="1046">
        <v>35</v>
      </c>
      <c r="E72" s="1046">
        <v>50</v>
      </c>
      <c r="F72" s="1058">
        <f t="shared" si="6"/>
        <v>79.54545454545455</v>
      </c>
      <c r="G72" s="1058">
        <f t="shared" si="6"/>
        <v>142.85714285714286</v>
      </c>
    </row>
    <row r="73" spans="1:7" s="401" customFormat="1" ht="14.25" customHeight="1">
      <c r="A73" s="1055"/>
      <c r="B73" s="1056" t="s">
        <v>686</v>
      </c>
      <c r="C73" s="1061">
        <v>7</v>
      </c>
      <c r="D73" s="1061">
        <v>9</v>
      </c>
      <c r="E73" s="1061">
        <v>4</v>
      </c>
      <c r="F73" s="1058">
        <f t="shared" si="6"/>
        <v>128.57142857142858</v>
      </c>
      <c r="G73" s="1058">
        <f t="shared" si="6"/>
        <v>44.44444444444444</v>
      </c>
    </row>
    <row r="74" spans="1:7" s="529" customFormat="1" ht="30">
      <c r="A74" s="1053" t="s">
        <v>540</v>
      </c>
      <c r="B74" s="1035" t="s">
        <v>1260</v>
      </c>
      <c r="C74" s="1054">
        <f>SUM(C75:C78)</f>
        <v>670</v>
      </c>
      <c r="D74" s="1054">
        <f>SUM(D75:D78)</f>
        <v>400</v>
      </c>
      <c r="E74" s="1054">
        <f>SUM(E75:E78)</f>
        <v>370</v>
      </c>
      <c r="F74" s="1048">
        <f t="shared" si="6"/>
        <v>59.70149253731343</v>
      </c>
      <c r="G74" s="1048">
        <f t="shared" si="6"/>
        <v>92.5</v>
      </c>
    </row>
    <row r="75" spans="1:7" s="348" customFormat="1" ht="13.5" customHeight="1">
      <c r="A75" s="1060"/>
      <c r="B75" s="1059" t="s">
        <v>692</v>
      </c>
      <c r="C75" s="1203">
        <f>100+150</f>
        <v>250</v>
      </c>
      <c r="D75" s="1203">
        <v>120</v>
      </c>
      <c r="E75" s="1203">
        <v>120</v>
      </c>
      <c r="F75" s="1058">
        <f aca="true" t="shared" si="8" ref="F75:G86">D75/C75*100</f>
        <v>48</v>
      </c>
      <c r="G75" s="1058">
        <f t="shared" si="8"/>
        <v>100</v>
      </c>
    </row>
    <row r="76" spans="1:7" s="348" customFormat="1" ht="13.5" customHeight="1">
      <c r="A76" s="1060"/>
      <c r="B76" s="1059" t="s">
        <v>693</v>
      </c>
      <c r="C76" s="1203">
        <f>140+100</f>
        <v>240</v>
      </c>
      <c r="D76" s="1203">
        <v>100</v>
      </c>
      <c r="E76" s="1203">
        <v>100</v>
      </c>
      <c r="F76" s="1058">
        <f t="shared" si="8"/>
        <v>41.66666666666667</v>
      </c>
      <c r="G76" s="1058">
        <f t="shared" si="8"/>
        <v>100</v>
      </c>
    </row>
    <row r="77" spans="1:7" s="348" customFormat="1" ht="13.5" customHeight="1">
      <c r="A77" s="1060"/>
      <c r="B77" s="1059" t="s">
        <v>694</v>
      </c>
      <c r="C77" s="1203">
        <v>60</v>
      </c>
      <c r="D77" s="1203">
        <v>60</v>
      </c>
      <c r="E77" s="1203">
        <v>50</v>
      </c>
      <c r="F77" s="1058">
        <f t="shared" si="8"/>
        <v>100</v>
      </c>
      <c r="G77" s="1058">
        <f t="shared" si="8"/>
        <v>83.33333333333334</v>
      </c>
    </row>
    <row r="78" spans="1:7" s="348" customFormat="1" ht="13.5" customHeight="1">
      <c r="A78" s="1060"/>
      <c r="B78" s="1059" t="s">
        <v>695</v>
      </c>
      <c r="C78" s="1203">
        <v>120</v>
      </c>
      <c r="D78" s="1203">
        <v>120</v>
      </c>
      <c r="E78" s="1203">
        <v>100</v>
      </c>
      <c r="F78" s="1058">
        <f t="shared" si="8"/>
        <v>100</v>
      </c>
      <c r="G78" s="1058">
        <f t="shared" si="8"/>
        <v>83.33333333333334</v>
      </c>
    </row>
    <row r="79" spans="1:7" s="528" customFormat="1" ht="30">
      <c r="A79" s="1053" t="s">
        <v>541</v>
      </c>
      <c r="B79" s="1035" t="s">
        <v>696</v>
      </c>
      <c r="C79" s="1054">
        <v>65</v>
      </c>
      <c r="D79" s="1054">
        <v>201</v>
      </c>
      <c r="E79" s="1054">
        <v>150</v>
      </c>
      <c r="F79" s="1048">
        <f t="shared" si="8"/>
        <v>309.2307692307692</v>
      </c>
      <c r="G79" s="1048">
        <f t="shared" si="8"/>
        <v>74.6268656716418</v>
      </c>
    </row>
    <row r="80" spans="1:7" s="528" customFormat="1" ht="14.25" customHeight="1">
      <c r="A80" s="1038">
        <v>2</v>
      </c>
      <c r="B80" s="1020" t="s">
        <v>682</v>
      </c>
      <c r="C80" s="1052">
        <f>C81+C85</f>
        <v>50</v>
      </c>
      <c r="D80" s="1052">
        <f>D81+D85</f>
        <v>60</v>
      </c>
      <c r="E80" s="1052">
        <f>E81+E85</f>
        <v>110</v>
      </c>
      <c r="F80" s="1048">
        <f t="shared" si="8"/>
        <v>120</v>
      </c>
      <c r="G80" s="1048">
        <f t="shared" si="8"/>
        <v>183.33333333333331</v>
      </c>
    </row>
    <row r="81" spans="1:7" s="414" customFormat="1" ht="14.25" customHeight="1">
      <c r="A81" s="1053" t="s">
        <v>538</v>
      </c>
      <c r="B81" s="1035" t="s">
        <v>1261</v>
      </c>
      <c r="C81" s="1039">
        <f>SUM(C82:C84)</f>
        <v>0</v>
      </c>
      <c r="D81" s="1039">
        <f>SUM(D82:D84)</f>
        <v>0</v>
      </c>
      <c r="E81" s="1039">
        <f>SUM(E82:E84)</f>
        <v>60</v>
      </c>
      <c r="F81" s="1048"/>
      <c r="G81" s="1048"/>
    </row>
    <row r="82" spans="1:7" s="348" customFormat="1" ht="14.25" customHeight="1">
      <c r="A82" s="1062"/>
      <c r="B82" s="1059" t="s">
        <v>697</v>
      </c>
      <c r="C82" s="1046"/>
      <c r="D82" s="1046"/>
      <c r="E82" s="1046"/>
      <c r="F82" s="1058"/>
      <c r="G82" s="1058"/>
    </row>
    <row r="83" spans="1:7" s="348" customFormat="1" ht="14.25" customHeight="1">
      <c r="A83" s="1062"/>
      <c r="B83" s="1059" t="s">
        <v>698</v>
      </c>
      <c r="C83" s="1046"/>
      <c r="D83" s="1046"/>
      <c r="E83" s="1046"/>
      <c r="F83" s="1058"/>
      <c r="G83" s="1058"/>
    </row>
    <row r="84" spans="1:7" s="348" customFormat="1" ht="14.25" customHeight="1">
      <c r="A84" s="1062"/>
      <c r="B84" s="1059" t="s">
        <v>1262</v>
      </c>
      <c r="C84" s="1046"/>
      <c r="D84" s="1046"/>
      <c r="E84" s="1046">
        <v>60</v>
      </c>
      <c r="F84" s="1058"/>
      <c r="G84" s="1058"/>
    </row>
    <row r="85" spans="1:7" s="414" customFormat="1" ht="14.25" customHeight="1">
      <c r="A85" s="1053" t="s">
        <v>540</v>
      </c>
      <c r="B85" s="1035" t="s">
        <v>1263</v>
      </c>
      <c r="C85" s="1054">
        <f>C86</f>
        <v>50</v>
      </c>
      <c r="D85" s="1054">
        <f>D86</f>
        <v>60</v>
      </c>
      <c r="E85" s="1054">
        <f>E86</f>
        <v>50</v>
      </c>
      <c r="F85" s="1058"/>
      <c r="G85" s="1058"/>
    </row>
    <row r="86" spans="1:7" s="348" customFormat="1" ht="14.25" customHeight="1">
      <c r="A86" s="1062"/>
      <c r="B86" s="1059" t="s">
        <v>699</v>
      </c>
      <c r="C86" s="1046">
        <v>50</v>
      </c>
      <c r="D86" s="1046">
        <v>60</v>
      </c>
      <c r="E86" s="1046">
        <v>50</v>
      </c>
      <c r="F86" s="1058">
        <f t="shared" si="8"/>
        <v>120</v>
      </c>
      <c r="G86" s="1058">
        <f t="shared" si="8"/>
        <v>83.33333333333334</v>
      </c>
    </row>
    <row r="87" spans="1:14" s="528" customFormat="1" ht="14.25" customHeight="1">
      <c r="A87" s="1038" t="s">
        <v>132</v>
      </c>
      <c r="B87" s="1020" t="s">
        <v>700</v>
      </c>
      <c r="C87" s="1052">
        <f>SUM(C88:C90)</f>
        <v>7894</v>
      </c>
      <c r="D87" s="1052">
        <f>SUM(D88:D90)</f>
        <v>7995</v>
      </c>
      <c r="E87" s="1052">
        <f>SUM(E88:E90)</f>
        <v>8000</v>
      </c>
      <c r="F87" s="1048">
        <f>(D87/C87)*100</f>
        <v>101.27945274892323</v>
      </c>
      <c r="G87" s="1048">
        <f>(E87/D87)*100</f>
        <v>100.06253908692932</v>
      </c>
      <c r="H87" s="409">
        <f>(F87/E87)*100</f>
        <v>1.2659931593615403</v>
      </c>
      <c r="N87" s="1225" t="s">
        <v>1352</v>
      </c>
    </row>
    <row r="88" spans="1:8" s="348" customFormat="1" ht="14.25" customHeight="1">
      <c r="A88" s="1030"/>
      <c r="B88" s="1204" t="s">
        <v>701</v>
      </c>
      <c r="C88" s="1205">
        <v>82</v>
      </c>
      <c r="D88" s="1205">
        <v>150</v>
      </c>
      <c r="E88" s="1205">
        <v>180</v>
      </c>
      <c r="F88" s="1042">
        <f aca="true" t="shared" si="9" ref="F88:H103">(D88/C88)*100</f>
        <v>182.9268292682927</v>
      </c>
      <c r="G88" s="1042">
        <f t="shared" si="9"/>
        <v>120</v>
      </c>
      <c r="H88" s="388">
        <f t="shared" si="9"/>
        <v>101.62601626016261</v>
      </c>
    </row>
    <row r="89" spans="1:8" s="348" customFormat="1" ht="14.25" customHeight="1">
      <c r="A89" s="1206"/>
      <c r="B89" s="1204" t="s">
        <v>702</v>
      </c>
      <c r="C89" s="1205">
        <v>173</v>
      </c>
      <c r="D89" s="1205">
        <v>266</v>
      </c>
      <c r="E89" s="1205">
        <v>300</v>
      </c>
      <c r="F89" s="1042">
        <f t="shared" si="9"/>
        <v>153.757225433526</v>
      </c>
      <c r="G89" s="1042">
        <f t="shared" si="9"/>
        <v>112.78195488721805</v>
      </c>
      <c r="H89" s="388">
        <f t="shared" si="9"/>
        <v>51.252408477842</v>
      </c>
    </row>
    <row r="90" spans="1:8" s="348" customFormat="1" ht="14.25" customHeight="1">
      <c r="A90" s="1206"/>
      <c r="B90" s="1204" t="s">
        <v>703</v>
      </c>
      <c r="C90" s="1205">
        <v>7639</v>
      </c>
      <c r="D90" s="1205">
        <f>D96+D99+D102+D105+D108+D111+D114+D117+D120+D123+D126+D130</f>
        <v>7579</v>
      </c>
      <c r="E90" s="1205">
        <v>7520</v>
      </c>
      <c r="F90" s="1042">
        <f t="shared" si="9"/>
        <v>99.21455687917266</v>
      </c>
      <c r="G90" s="1042">
        <f t="shared" si="9"/>
        <v>99.22153318379733</v>
      </c>
      <c r="H90" s="388">
        <f t="shared" si="9"/>
        <v>1.319342511691126</v>
      </c>
    </row>
    <row r="91" spans="1:8" s="369" customFormat="1" ht="14.25" customHeight="1">
      <c r="A91" s="1207"/>
      <c r="B91" s="1208" t="s">
        <v>704</v>
      </c>
      <c r="C91" s="1209">
        <v>5751</v>
      </c>
      <c r="D91" s="1209">
        <f>D97+D100+D103+D106+D109+D112+D115+D118+D121+D124+D127+D131</f>
        <v>5613</v>
      </c>
      <c r="E91" s="1209">
        <v>5620</v>
      </c>
      <c r="F91" s="1042">
        <f t="shared" si="9"/>
        <v>97.60041731872717</v>
      </c>
      <c r="G91" s="1042">
        <f t="shared" si="9"/>
        <v>100.12471049349725</v>
      </c>
      <c r="H91" s="388">
        <f t="shared" si="9"/>
        <v>1.7366622298705903</v>
      </c>
    </row>
    <row r="92" spans="1:8" s="348" customFormat="1" ht="14.25" customHeight="1">
      <c r="A92" s="1210"/>
      <c r="B92" s="1211" t="s">
        <v>705</v>
      </c>
      <c r="C92" s="1212">
        <f>C93+C98+C101+C104+C107+C110+C113+C116+C119+C122+C125+C128</f>
        <v>7894</v>
      </c>
      <c r="D92" s="1212">
        <f>D93+D98+D101+D104+D107+D110+D113+D116+D119+D122+D125+D128</f>
        <v>7995</v>
      </c>
      <c r="E92" s="1212">
        <f>E93+E98+E101+E104+E107+E110+E113+E116+E119+E122+E125+E128</f>
        <v>8000</v>
      </c>
      <c r="F92" s="1048">
        <f t="shared" si="9"/>
        <v>101.27945274892323</v>
      </c>
      <c r="G92" s="1048">
        <f t="shared" si="9"/>
        <v>100.06253908692932</v>
      </c>
      <c r="H92" s="388">
        <f t="shared" si="9"/>
        <v>1.2659931593615403</v>
      </c>
    </row>
    <row r="93" spans="1:8" s="348" customFormat="1" ht="14.25" customHeight="1">
      <c r="A93" s="1213">
        <v>1</v>
      </c>
      <c r="B93" s="1214" t="s">
        <v>706</v>
      </c>
      <c r="C93" s="1215">
        <f>C94+C95+C96</f>
        <v>1497</v>
      </c>
      <c r="D93" s="1215">
        <f>D94+D95+D96</f>
        <v>1477</v>
      </c>
      <c r="E93" s="1215">
        <f>E94+E95+E96</f>
        <v>1580</v>
      </c>
      <c r="F93" s="1048">
        <f t="shared" si="9"/>
        <v>98.66399465597863</v>
      </c>
      <c r="G93" s="1048">
        <f t="shared" si="9"/>
        <v>106.97359512525388</v>
      </c>
      <c r="H93" s="388">
        <f t="shared" si="9"/>
        <v>6.244556623796116</v>
      </c>
    </row>
    <row r="94" spans="1:8" s="348" customFormat="1" ht="14.25" customHeight="1">
      <c r="A94" s="1216"/>
      <c r="B94" s="1204" t="s">
        <v>701</v>
      </c>
      <c r="C94" s="1217">
        <v>82</v>
      </c>
      <c r="D94" s="1217">
        <v>150</v>
      </c>
      <c r="E94" s="1217">
        <v>180</v>
      </c>
      <c r="F94" s="1042">
        <f t="shared" si="9"/>
        <v>182.9268292682927</v>
      </c>
      <c r="G94" s="1042">
        <f t="shared" si="9"/>
        <v>120</v>
      </c>
      <c r="H94" s="388">
        <f t="shared" si="9"/>
        <v>101.62601626016261</v>
      </c>
    </row>
    <row r="95" spans="1:8" s="348" customFormat="1" ht="14.25" customHeight="1">
      <c r="A95" s="1210"/>
      <c r="B95" s="1204" t="s">
        <v>702</v>
      </c>
      <c r="C95" s="1217">
        <v>105</v>
      </c>
      <c r="D95" s="1217">
        <v>100</v>
      </c>
      <c r="E95" s="1217">
        <v>150</v>
      </c>
      <c r="F95" s="1042">
        <f t="shared" si="9"/>
        <v>95.23809523809523</v>
      </c>
      <c r="G95" s="1042">
        <f t="shared" si="9"/>
        <v>150</v>
      </c>
      <c r="H95" s="388">
        <f t="shared" si="9"/>
        <v>63.49206349206349</v>
      </c>
    </row>
    <row r="96" spans="1:8" s="348" customFormat="1" ht="14.25" customHeight="1">
      <c r="A96" s="1210"/>
      <c r="B96" s="1204" t="s">
        <v>703</v>
      </c>
      <c r="C96" s="1217">
        <v>1310</v>
      </c>
      <c r="D96" s="1217">
        <v>1227</v>
      </c>
      <c r="E96" s="1217">
        <v>1250</v>
      </c>
      <c r="F96" s="1042">
        <f t="shared" si="9"/>
        <v>93.66412213740458</v>
      </c>
      <c r="G96" s="1042">
        <f t="shared" si="9"/>
        <v>101.87449062754685</v>
      </c>
      <c r="H96" s="388">
        <f t="shared" si="9"/>
        <v>7.493129770992366</v>
      </c>
    </row>
    <row r="97" spans="1:8" s="369" customFormat="1" ht="14.25" customHeight="1">
      <c r="A97" s="1207"/>
      <c r="B97" s="1208" t="s">
        <v>707</v>
      </c>
      <c r="C97" s="1209">
        <v>212</v>
      </c>
      <c r="D97" s="1209">
        <v>384</v>
      </c>
      <c r="E97" s="1209">
        <v>350</v>
      </c>
      <c r="F97" s="1042">
        <f t="shared" si="9"/>
        <v>181.13207547169813</v>
      </c>
      <c r="G97" s="1042">
        <f t="shared" si="9"/>
        <v>91.14583333333334</v>
      </c>
      <c r="H97" s="388">
        <f t="shared" si="9"/>
        <v>51.75202156334232</v>
      </c>
    </row>
    <row r="98" spans="1:8" s="348" customFormat="1" ht="14.25" customHeight="1">
      <c r="A98" s="1213">
        <v>2</v>
      </c>
      <c r="B98" s="1214" t="s">
        <v>708</v>
      </c>
      <c r="C98" s="1215">
        <f>C99</f>
        <v>623</v>
      </c>
      <c r="D98" s="1215">
        <f>D99</f>
        <v>316</v>
      </c>
      <c r="E98" s="1215">
        <f>E99</f>
        <v>370</v>
      </c>
      <c r="F98" s="1048">
        <f t="shared" si="9"/>
        <v>50.7223113964687</v>
      </c>
      <c r="G98" s="1048">
        <f t="shared" si="9"/>
        <v>117.08860759493672</v>
      </c>
      <c r="H98" s="388">
        <f t="shared" si="9"/>
        <v>13.708732809856405</v>
      </c>
    </row>
    <row r="99" spans="1:8" s="348" customFormat="1" ht="14.25" customHeight="1">
      <c r="A99" s="1206"/>
      <c r="B99" s="1204" t="s">
        <v>709</v>
      </c>
      <c r="C99" s="1217">
        <v>623</v>
      </c>
      <c r="D99" s="1217">
        <v>316</v>
      </c>
      <c r="E99" s="1217">
        <v>370</v>
      </c>
      <c r="F99" s="1042">
        <f t="shared" si="9"/>
        <v>50.7223113964687</v>
      </c>
      <c r="G99" s="1042">
        <f t="shared" si="9"/>
        <v>117.08860759493672</v>
      </c>
      <c r="H99" s="388">
        <f t="shared" si="9"/>
        <v>13.708732809856405</v>
      </c>
    </row>
    <row r="100" spans="1:8" s="348" customFormat="1" ht="14.25" customHeight="1">
      <c r="A100" s="1207"/>
      <c r="B100" s="1208" t="s">
        <v>710</v>
      </c>
      <c r="C100" s="1209">
        <v>623</v>
      </c>
      <c r="D100" s="1209">
        <v>316</v>
      </c>
      <c r="E100" s="1209">
        <v>370</v>
      </c>
      <c r="F100" s="1042">
        <f t="shared" si="9"/>
        <v>50.7223113964687</v>
      </c>
      <c r="G100" s="1042">
        <f t="shared" si="9"/>
        <v>117.08860759493672</v>
      </c>
      <c r="H100" s="388">
        <f t="shared" si="9"/>
        <v>13.708732809856405</v>
      </c>
    </row>
    <row r="101" spans="1:8" s="348" customFormat="1" ht="14.25" customHeight="1">
      <c r="A101" s="1213">
        <v>3</v>
      </c>
      <c r="B101" s="1214" t="s">
        <v>711</v>
      </c>
      <c r="C101" s="1215">
        <f>C102</f>
        <v>282</v>
      </c>
      <c r="D101" s="1215">
        <f>D102</f>
        <v>216</v>
      </c>
      <c r="E101" s="1215">
        <f>E102</f>
        <v>270</v>
      </c>
      <c r="F101" s="1048">
        <f t="shared" si="9"/>
        <v>76.59574468085107</v>
      </c>
      <c r="G101" s="1048">
        <f t="shared" si="9"/>
        <v>125</v>
      </c>
      <c r="H101" s="388">
        <f t="shared" si="9"/>
        <v>28.368794326241137</v>
      </c>
    </row>
    <row r="102" spans="1:8" s="348" customFormat="1" ht="14.25" customHeight="1">
      <c r="A102" s="1206"/>
      <c r="B102" s="1204" t="s">
        <v>709</v>
      </c>
      <c r="C102" s="1217">
        <v>282</v>
      </c>
      <c r="D102" s="1217">
        <v>216</v>
      </c>
      <c r="E102" s="1217">
        <v>270</v>
      </c>
      <c r="F102" s="1042">
        <f t="shared" si="9"/>
        <v>76.59574468085107</v>
      </c>
      <c r="G102" s="1042">
        <f t="shared" si="9"/>
        <v>125</v>
      </c>
      <c r="H102" s="388">
        <f t="shared" si="9"/>
        <v>28.368794326241137</v>
      </c>
    </row>
    <row r="103" spans="1:8" s="348" customFormat="1" ht="14.25" customHeight="1">
      <c r="A103" s="1207"/>
      <c r="B103" s="1208" t="s">
        <v>710</v>
      </c>
      <c r="C103" s="1209">
        <v>282</v>
      </c>
      <c r="D103" s="1209">
        <v>216</v>
      </c>
      <c r="E103" s="1209">
        <v>270</v>
      </c>
      <c r="F103" s="1042">
        <f t="shared" si="9"/>
        <v>76.59574468085107</v>
      </c>
      <c r="G103" s="1042">
        <f t="shared" si="9"/>
        <v>125</v>
      </c>
      <c r="H103" s="388">
        <f t="shared" si="9"/>
        <v>28.368794326241137</v>
      </c>
    </row>
    <row r="104" spans="1:8" s="348" customFormat="1" ht="14.25" customHeight="1">
      <c r="A104" s="1213">
        <v>4</v>
      </c>
      <c r="B104" s="1214" t="s">
        <v>712</v>
      </c>
      <c r="C104" s="1215">
        <f>C105</f>
        <v>952</v>
      </c>
      <c r="D104" s="1215">
        <f>D105</f>
        <v>890</v>
      </c>
      <c r="E104" s="1215">
        <f>E105</f>
        <v>950</v>
      </c>
      <c r="F104" s="1048">
        <f aca="true" t="shared" si="10" ref="F104:H131">(D104/C104)*100</f>
        <v>93.4873949579832</v>
      </c>
      <c r="G104" s="1048">
        <f t="shared" si="10"/>
        <v>106.74157303370787</v>
      </c>
      <c r="H104" s="388">
        <f t="shared" si="10"/>
        <v>9.84077841662981</v>
      </c>
    </row>
    <row r="105" spans="1:8" s="348" customFormat="1" ht="14.25" customHeight="1">
      <c r="A105" s="1206"/>
      <c r="B105" s="1204" t="s">
        <v>709</v>
      </c>
      <c r="C105" s="1217">
        <v>952</v>
      </c>
      <c r="D105" s="1217">
        <f>788+102</f>
        <v>890</v>
      </c>
      <c r="E105" s="1217">
        <v>950</v>
      </c>
      <c r="F105" s="1042">
        <f t="shared" si="10"/>
        <v>93.4873949579832</v>
      </c>
      <c r="G105" s="1042">
        <f t="shared" si="10"/>
        <v>106.74157303370787</v>
      </c>
      <c r="H105" s="388">
        <f t="shared" si="10"/>
        <v>9.84077841662981</v>
      </c>
    </row>
    <row r="106" spans="1:8" s="348" customFormat="1" ht="14.25" customHeight="1">
      <c r="A106" s="1207"/>
      <c r="B106" s="1208" t="s">
        <v>710</v>
      </c>
      <c r="C106" s="1209">
        <v>952</v>
      </c>
      <c r="D106" s="1209">
        <v>788</v>
      </c>
      <c r="E106" s="1209">
        <v>950</v>
      </c>
      <c r="F106" s="1042">
        <f t="shared" si="10"/>
        <v>82.77310924369748</v>
      </c>
      <c r="G106" s="1042">
        <f t="shared" si="10"/>
        <v>120.55837563451777</v>
      </c>
      <c r="H106" s="388">
        <f t="shared" si="10"/>
        <v>8.71295886775763</v>
      </c>
    </row>
    <row r="107" spans="1:8" s="348" customFormat="1" ht="14.25" customHeight="1">
      <c r="A107" s="1213">
        <v>5</v>
      </c>
      <c r="B107" s="1214" t="s">
        <v>713</v>
      </c>
      <c r="C107" s="1215">
        <f>C108</f>
        <v>1110</v>
      </c>
      <c r="D107" s="1215">
        <f>D108</f>
        <v>1086</v>
      </c>
      <c r="E107" s="1215">
        <f>E108</f>
        <v>1130</v>
      </c>
      <c r="F107" s="1048">
        <f t="shared" si="10"/>
        <v>97.83783783783784</v>
      </c>
      <c r="G107" s="1048">
        <f t="shared" si="10"/>
        <v>104.05156537753221</v>
      </c>
      <c r="H107" s="388">
        <f t="shared" si="10"/>
        <v>8.658215737861756</v>
      </c>
    </row>
    <row r="108" spans="1:8" s="348" customFormat="1" ht="14.25" customHeight="1">
      <c r="A108" s="1206"/>
      <c r="B108" s="1204" t="s">
        <v>709</v>
      </c>
      <c r="C108" s="1217">
        <v>1110</v>
      </c>
      <c r="D108" s="1217">
        <v>1086</v>
      </c>
      <c r="E108" s="1217">
        <v>1130</v>
      </c>
      <c r="F108" s="1042">
        <f t="shared" si="10"/>
        <v>97.83783783783784</v>
      </c>
      <c r="G108" s="1042">
        <f t="shared" si="10"/>
        <v>104.05156537753221</v>
      </c>
      <c r="H108" s="388">
        <f t="shared" si="10"/>
        <v>8.658215737861756</v>
      </c>
    </row>
    <row r="109" spans="1:8" s="348" customFormat="1" ht="14.25" customHeight="1">
      <c r="A109" s="1207"/>
      <c r="B109" s="1208" t="s">
        <v>710</v>
      </c>
      <c r="C109" s="1209">
        <v>1110</v>
      </c>
      <c r="D109" s="1209">
        <v>1086</v>
      </c>
      <c r="E109" s="1209">
        <v>1130</v>
      </c>
      <c r="F109" s="1042">
        <f t="shared" si="10"/>
        <v>97.83783783783784</v>
      </c>
      <c r="G109" s="1042">
        <f t="shared" si="10"/>
        <v>104.05156537753221</v>
      </c>
      <c r="H109" s="388">
        <f t="shared" si="10"/>
        <v>8.658215737861756</v>
      </c>
    </row>
    <row r="110" spans="1:8" s="348" customFormat="1" ht="14.25" customHeight="1">
      <c r="A110" s="1213">
        <v>6</v>
      </c>
      <c r="B110" s="1214" t="s">
        <v>714</v>
      </c>
      <c r="C110" s="1215">
        <f>C111</f>
        <v>386</v>
      </c>
      <c r="D110" s="1215">
        <f>D111</f>
        <v>365</v>
      </c>
      <c r="E110" s="1215">
        <f>E111</f>
        <v>330</v>
      </c>
      <c r="F110" s="1048">
        <f t="shared" si="10"/>
        <v>94.55958549222798</v>
      </c>
      <c r="G110" s="1048">
        <f t="shared" si="10"/>
        <v>90.41095890410958</v>
      </c>
      <c r="H110" s="388">
        <f t="shared" si="10"/>
        <v>28.65441984612969</v>
      </c>
    </row>
    <row r="111" spans="1:8" s="348" customFormat="1" ht="14.25" customHeight="1">
      <c r="A111" s="1206"/>
      <c r="B111" s="1204" t="s">
        <v>709</v>
      </c>
      <c r="C111" s="1217">
        <v>386</v>
      </c>
      <c r="D111" s="1217">
        <f>315+50</f>
        <v>365</v>
      </c>
      <c r="E111" s="1217">
        <v>330</v>
      </c>
      <c r="F111" s="1042">
        <f t="shared" si="10"/>
        <v>94.55958549222798</v>
      </c>
      <c r="G111" s="1042">
        <f t="shared" si="10"/>
        <v>90.41095890410958</v>
      </c>
      <c r="H111" s="388">
        <f t="shared" si="10"/>
        <v>28.65441984612969</v>
      </c>
    </row>
    <row r="112" spans="1:8" s="348" customFormat="1" ht="14.25" customHeight="1">
      <c r="A112" s="1207"/>
      <c r="B112" s="1208" t="s">
        <v>710</v>
      </c>
      <c r="C112" s="1209">
        <f>C111</f>
        <v>386</v>
      </c>
      <c r="D112" s="1209">
        <f>D111</f>
        <v>365</v>
      </c>
      <c r="E112" s="1209">
        <f>E111</f>
        <v>330</v>
      </c>
      <c r="F112" s="1042">
        <f t="shared" si="10"/>
        <v>94.55958549222798</v>
      </c>
      <c r="G112" s="1042">
        <f t="shared" si="10"/>
        <v>90.41095890410958</v>
      </c>
      <c r="H112" s="388">
        <f t="shared" si="10"/>
        <v>28.65441984612969</v>
      </c>
    </row>
    <row r="113" spans="1:8" s="348" customFormat="1" ht="14.25" customHeight="1">
      <c r="A113" s="1213">
        <v>7</v>
      </c>
      <c r="B113" s="1214" t="s">
        <v>715</v>
      </c>
      <c r="C113" s="1215">
        <f>C114</f>
        <v>582</v>
      </c>
      <c r="D113" s="1215">
        <f>D114</f>
        <v>467</v>
      </c>
      <c r="E113" s="1215">
        <f>E114</f>
        <v>500</v>
      </c>
      <c r="F113" s="1048">
        <f t="shared" si="10"/>
        <v>80.2405498281787</v>
      </c>
      <c r="G113" s="1048">
        <f t="shared" si="10"/>
        <v>107.06638115631692</v>
      </c>
      <c r="H113" s="388">
        <f t="shared" si="10"/>
        <v>16.04810996563574</v>
      </c>
    </row>
    <row r="114" spans="1:8" s="348" customFormat="1" ht="14.25" customHeight="1">
      <c r="A114" s="1206"/>
      <c r="B114" s="1204" t="s">
        <v>709</v>
      </c>
      <c r="C114" s="1217">
        <v>582</v>
      </c>
      <c r="D114" s="1217">
        <v>467</v>
      </c>
      <c r="E114" s="1217">
        <v>500</v>
      </c>
      <c r="F114" s="1042">
        <f t="shared" si="10"/>
        <v>80.2405498281787</v>
      </c>
      <c r="G114" s="1042">
        <f t="shared" si="10"/>
        <v>107.06638115631692</v>
      </c>
      <c r="H114" s="388">
        <f t="shared" si="10"/>
        <v>16.04810996563574</v>
      </c>
    </row>
    <row r="115" spans="1:8" s="348" customFormat="1" ht="14.25" customHeight="1">
      <c r="A115" s="1207"/>
      <c r="B115" s="1208" t="s">
        <v>710</v>
      </c>
      <c r="C115" s="1209">
        <f>C114</f>
        <v>582</v>
      </c>
      <c r="D115" s="1209">
        <f>D114</f>
        <v>467</v>
      </c>
      <c r="E115" s="1209">
        <f>E114</f>
        <v>500</v>
      </c>
      <c r="F115" s="1042">
        <f t="shared" si="10"/>
        <v>80.2405498281787</v>
      </c>
      <c r="G115" s="1042">
        <f t="shared" si="10"/>
        <v>107.06638115631692</v>
      </c>
      <c r="H115" s="388">
        <f t="shared" si="10"/>
        <v>16.04810996563574</v>
      </c>
    </row>
    <row r="116" spans="1:8" s="348" customFormat="1" ht="14.25" customHeight="1">
      <c r="A116" s="1213">
        <v>8</v>
      </c>
      <c r="B116" s="1214" t="s">
        <v>716</v>
      </c>
      <c r="C116" s="1215">
        <f>C117</f>
        <v>126</v>
      </c>
      <c r="D116" s="1215">
        <f>D117</f>
        <v>194</v>
      </c>
      <c r="E116" s="1215">
        <f>E117</f>
        <v>300</v>
      </c>
      <c r="F116" s="1048">
        <f t="shared" si="10"/>
        <v>153.96825396825398</v>
      </c>
      <c r="G116" s="1048">
        <f t="shared" si="10"/>
        <v>154.63917525773198</v>
      </c>
      <c r="H116" s="388">
        <f t="shared" si="10"/>
        <v>51.32275132275132</v>
      </c>
    </row>
    <row r="117" spans="1:8" s="348" customFormat="1" ht="14.25" customHeight="1">
      <c r="A117" s="1206"/>
      <c r="B117" s="1204" t="s">
        <v>709</v>
      </c>
      <c r="C117" s="1217">
        <v>126</v>
      </c>
      <c r="D117" s="1217">
        <v>194</v>
      </c>
      <c r="E117" s="1217">
        <v>300</v>
      </c>
      <c r="F117" s="1042">
        <f t="shared" si="10"/>
        <v>153.96825396825398</v>
      </c>
      <c r="G117" s="1042">
        <f t="shared" si="10"/>
        <v>154.63917525773198</v>
      </c>
      <c r="H117" s="388">
        <f t="shared" si="10"/>
        <v>51.32275132275132</v>
      </c>
    </row>
    <row r="118" spans="1:8" s="348" customFormat="1" ht="14.25" customHeight="1">
      <c r="A118" s="1207"/>
      <c r="B118" s="1208" t="s">
        <v>710</v>
      </c>
      <c r="C118" s="1209">
        <f>C117</f>
        <v>126</v>
      </c>
      <c r="D118" s="1209">
        <f>D117</f>
        <v>194</v>
      </c>
      <c r="E118" s="1209">
        <f>E117</f>
        <v>300</v>
      </c>
      <c r="F118" s="1042">
        <f t="shared" si="10"/>
        <v>153.96825396825398</v>
      </c>
      <c r="G118" s="1042">
        <f t="shared" si="10"/>
        <v>154.63917525773198</v>
      </c>
      <c r="H118" s="388">
        <f t="shared" si="10"/>
        <v>51.32275132275132</v>
      </c>
    </row>
    <row r="119" spans="1:8" s="348" customFormat="1" ht="14.25" customHeight="1">
      <c r="A119" s="1213" t="s">
        <v>717</v>
      </c>
      <c r="B119" s="1214" t="s">
        <v>718</v>
      </c>
      <c r="C119" s="1215">
        <f>C120</f>
        <v>420</v>
      </c>
      <c r="D119" s="1215">
        <f>D120</f>
        <v>327</v>
      </c>
      <c r="E119" s="1215">
        <f>E120</f>
        <v>420</v>
      </c>
      <c r="F119" s="1048">
        <f t="shared" si="10"/>
        <v>77.85714285714286</v>
      </c>
      <c r="G119" s="1048">
        <f t="shared" si="10"/>
        <v>128.44036697247708</v>
      </c>
      <c r="H119" s="388">
        <f t="shared" si="10"/>
        <v>18.537414965986397</v>
      </c>
    </row>
    <row r="120" spans="1:8" s="348" customFormat="1" ht="14.25" customHeight="1">
      <c r="A120" s="1206"/>
      <c r="B120" s="1204" t="s">
        <v>709</v>
      </c>
      <c r="C120" s="1217">
        <v>420</v>
      </c>
      <c r="D120" s="1217">
        <v>327</v>
      </c>
      <c r="E120" s="1217">
        <v>420</v>
      </c>
      <c r="F120" s="1042">
        <f t="shared" si="10"/>
        <v>77.85714285714286</v>
      </c>
      <c r="G120" s="1042">
        <f t="shared" si="10"/>
        <v>128.44036697247708</v>
      </c>
      <c r="H120" s="388">
        <f t="shared" si="10"/>
        <v>18.537414965986397</v>
      </c>
    </row>
    <row r="121" spans="1:8" s="348" customFormat="1" ht="14.25" customHeight="1">
      <c r="A121" s="1207"/>
      <c r="B121" s="1208" t="s">
        <v>710</v>
      </c>
      <c r="C121" s="1209">
        <v>420</v>
      </c>
      <c r="D121" s="1209">
        <v>327</v>
      </c>
      <c r="E121" s="1209">
        <v>420</v>
      </c>
      <c r="F121" s="1042">
        <f t="shared" si="10"/>
        <v>77.85714285714286</v>
      </c>
      <c r="G121" s="1042">
        <f t="shared" si="10"/>
        <v>128.44036697247708</v>
      </c>
      <c r="H121" s="388">
        <f t="shared" si="10"/>
        <v>18.537414965986397</v>
      </c>
    </row>
    <row r="122" spans="1:8" s="348" customFormat="1" ht="14.25" customHeight="1">
      <c r="A122" s="1213">
        <v>9</v>
      </c>
      <c r="B122" s="1214" t="s">
        <v>719</v>
      </c>
      <c r="C122" s="1215">
        <f>C123</f>
        <v>792</v>
      </c>
      <c r="D122" s="1215">
        <f>D123</f>
        <v>694</v>
      </c>
      <c r="E122" s="1215">
        <f>E123</f>
        <v>730</v>
      </c>
      <c r="F122" s="1048">
        <f t="shared" si="10"/>
        <v>87.62626262626263</v>
      </c>
      <c r="G122" s="1048">
        <f t="shared" si="10"/>
        <v>105.18731988472622</v>
      </c>
      <c r="H122" s="388">
        <f t="shared" si="10"/>
        <v>12.003597620035977</v>
      </c>
    </row>
    <row r="123" spans="1:8" s="348" customFormat="1" ht="14.25" customHeight="1">
      <c r="A123" s="1206"/>
      <c r="B123" s="1204" t="s">
        <v>709</v>
      </c>
      <c r="C123" s="1217">
        <v>792</v>
      </c>
      <c r="D123" s="1217">
        <v>694</v>
      </c>
      <c r="E123" s="1217">
        <v>730</v>
      </c>
      <c r="F123" s="1042">
        <f t="shared" si="10"/>
        <v>87.62626262626263</v>
      </c>
      <c r="G123" s="1042">
        <f t="shared" si="10"/>
        <v>105.18731988472622</v>
      </c>
      <c r="H123" s="388">
        <f t="shared" si="10"/>
        <v>12.003597620035977</v>
      </c>
    </row>
    <row r="124" spans="1:8" s="348" customFormat="1" ht="14.25" customHeight="1">
      <c r="A124" s="1207"/>
      <c r="B124" s="1208" t="s">
        <v>710</v>
      </c>
      <c r="C124" s="1209">
        <v>792</v>
      </c>
      <c r="D124" s="1209">
        <v>694</v>
      </c>
      <c r="E124" s="1209">
        <v>730</v>
      </c>
      <c r="F124" s="1042">
        <f t="shared" si="10"/>
        <v>87.62626262626263</v>
      </c>
      <c r="G124" s="1042">
        <f t="shared" si="10"/>
        <v>105.18731988472622</v>
      </c>
      <c r="H124" s="388">
        <f t="shared" si="10"/>
        <v>12.003597620035977</v>
      </c>
    </row>
    <row r="125" spans="1:8" s="348" customFormat="1" ht="14.25" customHeight="1">
      <c r="A125" s="1213">
        <v>10</v>
      </c>
      <c r="B125" s="1214" t="s">
        <v>720</v>
      </c>
      <c r="C125" s="1215">
        <f>C126</f>
        <v>266</v>
      </c>
      <c r="D125" s="1215">
        <f>D126</f>
        <v>175</v>
      </c>
      <c r="E125" s="1215">
        <f>E126</f>
        <v>270</v>
      </c>
      <c r="F125" s="1048">
        <f t="shared" si="10"/>
        <v>65.78947368421053</v>
      </c>
      <c r="G125" s="1048">
        <f t="shared" si="10"/>
        <v>154.2857142857143</v>
      </c>
      <c r="H125" s="388">
        <f t="shared" si="10"/>
        <v>24.36647173489279</v>
      </c>
    </row>
    <row r="126" spans="1:8" s="348" customFormat="1" ht="14.25" customHeight="1">
      <c r="A126" s="1206"/>
      <c r="B126" s="1204" t="s">
        <v>709</v>
      </c>
      <c r="C126" s="1217">
        <v>266</v>
      </c>
      <c r="D126" s="1217">
        <v>175</v>
      </c>
      <c r="E126" s="1217">
        <v>270</v>
      </c>
      <c r="F126" s="1042">
        <f t="shared" si="10"/>
        <v>65.78947368421053</v>
      </c>
      <c r="G126" s="1042">
        <f t="shared" si="10"/>
        <v>154.2857142857143</v>
      </c>
      <c r="H126" s="388">
        <f t="shared" si="10"/>
        <v>24.36647173489279</v>
      </c>
    </row>
    <row r="127" spans="1:8" s="348" customFormat="1" ht="14.25" customHeight="1">
      <c r="A127" s="1207"/>
      <c r="B127" s="1208" t="s">
        <v>710</v>
      </c>
      <c r="C127" s="1209">
        <v>266</v>
      </c>
      <c r="D127" s="1209">
        <v>175</v>
      </c>
      <c r="E127" s="1209">
        <v>270</v>
      </c>
      <c r="F127" s="1042">
        <f t="shared" si="10"/>
        <v>65.78947368421053</v>
      </c>
      <c r="G127" s="1042">
        <f t="shared" si="10"/>
        <v>154.2857142857143</v>
      </c>
      <c r="H127" s="388">
        <f t="shared" si="10"/>
        <v>24.36647173489279</v>
      </c>
    </row>
    <row r="128" spans="1:8" s="348" customFormat="1" ht="14.25" customHeight="1">
      <c r="A128" s="1213">
        <v>11</v>
      </c>
      <c r="B128" s="1214" t="s">
        <v>721</v>
      </c>
      <c r="C128" s="1215">
        <f>C129+C130</f>
        <v>858</v>
      </c>
      <c r="D128" s="1215">
        <f>D129+D130</f>
        <v>1788</v>
      </c>
      <c r="E128" s="1215">
        <f>E129+E130</f>
        <v>1150</v>
      </c>
      <c r="F128" s="1048">
        <f t="shared" si="10"/>
        <v>208.39160839160837</v>
      </c>
      <c r="G128" s="1048">
        <f t="shared" si="10"/>
        <v>64.31767337807607</v>
      </c>
      <c r="H128" s="388">
        <f t="shared" si="10"/>
        <v>18.121009425357247</v>
      </c>
    </row>
    <row r="129" spans="1:8" s="348" customFormat="1" ht="14.25" customHeight="1">
      <c r="A129" s="1206"/>
      <c r="B129" s="1204" t="s">
        <v>722</v>
      </c>
      <c r="C129" s="1205">
        <v>68</v>
      </c>
      <c r="D129" s="1205">
        <v>166</v>
      </c>
      <c r="E129" s="1205">
        <v>150</v>
      </c>
      <c r="F129" s="1042">
        <f t="shared" si="10"/>
        <v>244.11764705882354</v>
      </c>
      <c r="G129" s="1042">
        <f t="shared" si="10"/>
        <v>90.36144578313254</v>
      </c>
      <c r="H129" s="388">
        <f t="shared" si="10"/>
        <v>162.7450980392157</v>
      </c>
    </row>
    <row r="130" spans="1:8" s="369" customFormat="1" ht="14.25" customHeight="1">
      <c r="A130" s="1207"/>
      <c r="B130" s="1204" t="s">
        <v>709</v>
      </c>
      <c r="C130" s="1205">
        <v>790</v>
      </c>
      <c r="D130" s="1205">
        <v>1622</v>
      </c>
      <c r="E130" s="1205">
        <v>1000</v>
      </c>
      <c r="F130" s="1042">
        <f t="shared" si="10"/>
        <v>205.31645569620252</v>
      </c>
      <c r="G130" s="1042">
        <f t="shared" si="10"/>
        <v>61.652281134401974</v>
      </c>
      <c r="H130" s="388">
        <f t="shared" si="10"/>
        <v>20.531645569620252</v>
      </c>
    </row>
    <row r="131" spans="1:8" ht="14.25" customHeight="1">
      <c r="A131" s="1218"/>
      <c r="B131" s="1208" t="s">
        <v>710</v>
      </c>
      <c r="C131" s="1205"/>
      <c r="D131" s="1205">
        <v>601</v>
      </c>
      <c r="E131" s="1205">
        <v>380</v>
      </c>
      <c r="F131" s="1042"/>
      <c r="G131" s="1042">
        <f t="shared" si="10"/>
        <v>63.2279534109817</v>
      </c>
      <c r="H131" s="388">
        <f t="shared" si="10"/>
        <v>0</v>
      </c>
    </row>
  </sheetData>
  <sheetProtection/>
  <mergeCells count="9">
    <mergeCell ref="A2:G2"/>
    <mergeCell ref="A3:G3"/>
    <mergeCell ref="E4:G4"/>
    <mergeCell ref="A5:A6"/>
    <mergeCell ref="B5:B6"/>
    <mergeCell ref="C5:C6"/>
    <mergeCell ref="D5:D6"/>
    <mergeCell ref="E5:E6"/>
    <mergeCell ref="F5:G5"/>
  </mergeCells>
  <printOptions/>
  <pageMargins left="0.91" right="0.31496062992125984" top="0.58" bottom="0.72" header="0.31496062992125984" footer="0.35"/>
  <pageSetup horizontalDpi="600" verticalDpi="600" orientation="portrait" paperSize="9" scale="97" r:id="rId1"/>
  <headerFooter>
    <oddFooter>&amp;R&amp;P</oddFooter>
  </headerFooter>
  <colBreaks count="1" manualBreakCount="1">
    <brk id="7" max="116" man="1"/>
  </colBreaks>
</worksheet>
</file>

<file path=xl/worksheets/sheet8.xml><?xml version="1.0" encoding="utf-8"?>
<worksheet xmlns="http://schemas.openxmlformats.org/spreadsheetml/2006/main" xmlns:r="http://schemas.openxmlformats.org/officeDocument/2006/relationships">
  <sheetPr>
    <tabColor rgb="FFFF0000"/>
  </sheetPr>
  <dimension ref="A1:DG121"/>
  <sheetViews>
    <sheetView view="pageBreakPreview" zoomScale="85" zoomScaleSheetLayoutView="85" zoomScalePageLayoutView="0" workbookViewId="0" topLeftCell="A100">
      <selection activeCell="A100" sqref="A1:IV16384"/>
    </sheetView>
  </sheetViews>
  <sheetFormatPr defaultColWidth="8.125" defaultRowHeight="15.75"/>
  <cols>
    <col min="1" max="1" width="4.50390625" style="419" customWidth="1"/>
    <col min="2" max="2" width="31.75390625" style="405" customWidth="1"/>
    <col min="3" max="3" width="6.875" style="405" customWidth="1"/>
    <col min="4" max="4" width="8.625" style="405" customWidth="1"/>
    <col min="5" max="5" width="8.25390625" style="405" customWidth="1"/>
    <col min="6" max="6" width="8.125" style="405" customWidth="1"/>
    <col min="7" max="7" width="7.625" style="405" customWidth="1"/>
    <col min="8" max="8" width="7.50390625" style="405" customWidth="1"/>
    <col min="9" max="9" width="7.375" style="405" customWidth="1"/>
    <col min="10" max="10" width="6.625" style="405" customWidth="1"/>
    <col min="11" max="11" width="7.875" style="405" customWidth="1"/>
    <col min="12" max="13" width="7.50390625" style="405" customWidth="1"/>
    <col min="14" max="14" width="7.25390625" style="405" customWidth="1"/>
    <col min="15" max="15" width="7.50390625" style="405" customWidth="1"/>
    <col min="16" max="16" width="7.125" style="405" customWidth="1"/>
    <col min="17" max="17" width="6.50390625" style="405" customWidth="1"/>
    <col min="18" max="18" width="6.75390625" style="405" customWidth="1"/>
    <col min="19" max="19" width="8.125" style="405" customWidth="1"/>
    <col min="20" max="20" width="10.25390625" style="405" customWidth="1"/>
    <col min="21" max="27" width="4.00390625" style="405" customWidth="1"/>
    <col min="28" max="33" width="8.125" style="405" customWidth="1"/>
    <col min="34" max="77" width="9.00390625" style="405" customWidth="1"/>
    <col min="78" max="78" width="5.00390625" style="405" customWidth="1"/>
    <col min="79" max="243" width="9.00390625" style="405" customWidth="1"/>
    <col min="244" max="16384" width="8.125" style="405" customWidth="1"/>
  </cols>
  <sheetData>
    <row r="1" s="818" customFormat="1" ht="15">
      <c r="A1" s="403" t="s">
        <v>723</v>
      </c>
    </row>
    <row r="2" spans="1:18" ht="21.75" customHeight="1">
      <c r="A2" s="1355" t="s">
        <v>1264</v>
      </c>
      <c r="B2" s="1349"/>
      <c r="C2" s="1349"/>
      <c r="D2" s="1349"/>
      <c r="E2" s="1349"/>
      <c r="F2" s="1349"/>
      <c r="G2" s="1349"/>
      <c r="H2" s="1349"/>
      <c r="I2" s="1349"/>
      <c r="J2" s="1349"/>
      <c r="K2" s="1349"/>
      <c r="L2" s="1349"/>
      <c r="M2" s="1349"/>
      <c r="N2" s="1349"/>
      <c r="O2" s="1349"/>
      <c r="P2" s="1349"/>
      <c r="Q2" s="1349"/>
      <c r="R2" s="1349"/>
    </row>
    <row r="3" spans="1:18" s="1018" customFormat="1" ht="15" customHeight="1">
      <c r="A3" s="1356" t="s">
        <v>1199</v>
      </c>
      <c r="B3" s="1356"/>
      <c r="C3" s="1356"/>
      <c r="D3" s="1356"/>
      <c r="E3" s="1356"/>
      <c r="F3" s="1356"/>
      <c r="G3" s="1356"/>
      <c r="H3" s="1356"/>
      <c r="I3" s="1356"/>
      <c r="J3" s="1356"/>
      <c r="K3" s="1356"/>
      <c r="L3" s="1356"/>
      <c r="M3" s="1356"/>
      <c r="N3" s="1356"/>
      <c r="O3" s="1356"/>
      <c r="P3" s="1356"/>
      <c r="Q3" s="1356"/>
      <c r="R3" s="1356"/>
    </row>
    <row r="4" spans="1:18" ht="12" customHeight="1">
      <c r="A4" s="530"/>
      <c r="B4" s="530"/>
      <c r="C4" s="530"/>
      <c r="D4" s="530"/>
      <c r="E4" s="530"/>
      <c r="F4" s="530"/>
      <c r="G4" s="530"/>
      <c r="H4" s="530"/>
      <c r="I4" s="530"/>
      <c r="J4" s="530"/>
      <c r="K4" s="530"/>
      <c r="L4" s="530"/>
      <c r="M4" s="530"/>
      <c r="N4" s="530"/>
      <c r="O4" s="530"/>
      <c r="P4" s="530"/>
      <c r="Q4" s="530"/>
      <c r="R4" s="530"/>
    </row>
    <row r="5" spans="1:18" s="818" customFormat="1" ht="23.25" customHeight="1">
      <c r="A5" s="1357" t="s">
        <v>724</v>
      </c>
      <c r="B5" s="1358" t="s">
        <v>656</v>
      </c>
      <c r="C5" s="1357" t="s">
        <v>227</v>
      </c>
      <c r="D5" s="1357" t="s">
        <v>1180</v>
      </c>
      <c r="E5" s="1357" t="s">
        <v>1177</v>
      </c>
      <c r="F5" s="1357" t="s">
        <v>1174</v>
      </c>
      <c r="G5" s="1357" t="s">
        <v>725</v>
      </c>
      <c r="H5" s="1357"/>
      <c r="I5" s="1357"/>
      <c r="J5" s="1357"/>
      <c r="K5" s="1357"/>
      <c r="L5" s="1357"/>
      <c r="M5" s="1357"/>
      <c r="N5" s="1357"/>
      <c r="O5" s="1357"/>
      <c r="P5" s="1357"/>
      <c r="Q5" s="1354" t="s">
        <v>548</v>
      </c>
      <c r="R5" s="1354"/>
    </row>
    <row r="6" spans="1:18" s="818" customFormat="1" ht="40.5" customHeight="1">
      <c r="A6" s="1357"/>
      <c r="B6" s="1358"/>
      <c r="C6" s="1357"/>
      <c r="D6" s="1357"/>
      <c r="E6" s="1357"/>
      <c r="F6" s="1357"/>
      <c r="G6" s="1026" t="s">
        <v>593</v>
      </c>
      <c r="H6" s="1026" t="s">
        <v>530</v>
      </c>
      <c r="I6" s="1026" t="s">
        <v>726</v>
      </c>
      <c r="J6" s="1026" t="s">
        <v>711</v>
      </c>
      <c r="K6" s="1026" t="s">
        <v>598</v>
      </c>
      <c r="L6" s="1026" t="s">
        <v>599</v>
      </c>
      <c r="M6" s="1026" t="s">
        <v>601</v>
      </c>
      <c r="N6" s="1026" t="s">
        <v>596</v>
      </c>
      <c r="O6" s="1026" t="s">
        <v>595</v>
      </c>
      <c r="P6" s="1026" t="s">
        <v>597</v>
      </c>
      <c r="Q6" s="1028" t="s">
        <v>602</v>
      </c>
      <c r="R6" s="1028" t="s">
        <v>1178</v>
      </c>
    </row>
    <row r="7" spans="1:20" s="821" customFormat="1" ht="18.75" customHeight="1">
      <c r="A7" s="1026" t="s">
        <v>727</v>
      </c>
      <c r="B7" s="531" t="s">
        <v>728</v>
      </c>
      <c r="C7" s="532" t="s">
        <v>196</v>
      </c>
      <c r="D7" s="819">
        <f>D9+D26</f>
        <v>185518</v>
      </c>
      <c r="E7" s="819">
        <f>E9+E26</f>
        <v>189283</v>
      </c>
      <c r="F7" s="819">
        <f>F9+F26</f>
        <v>192860</v>
      </c>
      <c r="G7" s="819">
        <f aca="true" t="shared" si="0" ref="G7:P7">G9+G26</f>
        <v>18260</v>
      </c>
      <c r="H7" s="819">
        <f t="shared" si="0"/>
        <v>32340</v>
      </c>
      <c r="I7" s="819">
        <f t="shared" si="0"/>
        <v>22650</v>
      </c>
      <c r="J7" s="819">
        <f t="shared" si="0"/>
        <v>3278</v>
      </c>
      <c r="K7" s="819">
        <f t="shared" si="0"/>
        <v>17460</v>
      </c>
      <c r="L7" s="819">
        <f t="shared" si="0"/>
        <v>17250</v>
      </c>
      <c r="M7" s="819">
        <f t="shared" si="0"/>
        <v>20660</v>
      </c>
      <c r="N7" s="819">
        <f t="shared" si="0"/>
        <v>15090</v>
      </c>
      <c r="O7" s="819">
        <f t="shared" si="0"/>
        <v>26380</v>
      </c>
      <c r="P7" s="819">
        <f t="shared" si="0"/>
        <v>19492</v>
      </c>
      <c r="Q7" s="820">
        <f>E7/D7*100</f>
        <v>102.02945266766568</v>
      </c>
      <c r="R7" s="820">
        <f>F7/E7*100</f>
        <v>101.88976294754414</v>
      </c>
      <c r="T7" s="822">
        <f>E7-D7</f>
        <v>3765</v>
      </c>
    </row>
    <row r="8" spans="1:20" s="821" customFormat="1" ht="15.75" customHeight="1">
      <c r="A8" s="1026">
        <v>1</v>
      </c>
      <c r="B8" s="823" t="s">
        <v>729</v>
      </c>
      <c r="C8" s="532"/>
      <c r="D8" s="824"/>
      <c r="E8" s="853">
        <f>E7-D7</f>
        <v>3765</v>
      </c>
      <c r="F8" s="824"/>
      <c r="G8" s="824"/>
      <c r="H8" s="824"/>
      <c r="I8" s="824"/>
      <c r="J8" s="824"/>
      <c r="K8" s="824"/>
      <c r="L8" s="824"/>
      <c r="M8" s="824"/>
      <c r="N8" s="824"/>
      <c r="O8" s="824"/>
      <c r="P8" s="824"/>
      <c r="Q8" s="820"/>
      <c r="R8" s="820"/>
      <c r="T8" s="825">
        <f>E7/188500*100</f>
        <v>100.41538461538462</v>
      </c>
    </row>
    <row r="9" spans="1:20" s="821" customFormat="1" ht="15.75" customHeight="1">
      <c r="A9" s="1026" t="s">
        <v>730</v>
      </c>
      <c r="B9" s="531" t="s">
        <v>731</v>
      </c>
      <c r="C9" s="532" t="s">
        <v>732</v>
      </c>
      <c r="D9" s="826">
        <f>D10+D11</f>
        <v>58518</v>
      </c>
      <c r="E9" s="826">
        <f>E10+E11</f>
        <v>57591</v>
      </c>
      <c r="F9" s="827">
        <f>SUM(G9:P9)</f>
        <v>59080</v>
      </c>
      <c r="G9" s="828">
        <f>SUM(G10:G11)</f>
        <v>4850</v>
      </c>
      <c r="H9" s="829">
        <f>SUM(H10:H11)</f>
        <v>9640</v>
      </c>
      <c r="I9" s="829">
        <f>SUM(I10:I11)</f>
        <v>7450</v>
      </c>
      <c r="J9" s="829">
        <f aca="true" t="shared" si="1" ref="J9:P9">SUM(J10:J11)</f>
        <v>908</v>
      </c>
      <c r="K9" s="829">
        <f t="shared" si="1"/>
        <v>5690</v>
      </c>
      <c r="L9" s="829">
        <f t="shared" si="1"/>
        <v>5380</v>
      </c>
      <c r="M9" s="829">
        <f t="shared" si="1"/>
        <v>6860</v>
      </c>
      <c r="N9" s="829">
        <f t="shared" si="1"/>
        <v>4290</v>
      </c>
      <c r="O9" s="829">
        <f t="shared" si="1"/>
        <v>8330</v>
      </c>
      <c r="P9" s="829">
        <f t="shared" si="1"/>
        <v>5682</v>
      </c>
      <c r="Q9" s="820">
        <f aca="true" t="shared" si="2" ref="Q9:R16">E9/D9*100</f>
        <v>98.4158720393725</v>
      </c>
      <c r="R9" s="820">
        <f t="shared" si="2"/>
        <v>102.58547342466704</v>
      </c>
      <c r="T9" s="822"/>
    </row>
    <row r="10" spans="1:18" s="821" customFormat="1" ht="15.75" customHeight="1">
      <c r="A10" s="830"/>
      <c r="B10" s="831" t="s">
        <v>733</v>
      </c>
      <c r="C10" s="532" t="s">
        <v>732</v>
      </c>
      <c r="D10" s="832">
        <v>12927</v>
      </c>
      <c r="E10" s="832">
        <v>12361</v>
      </c>
      <c r="F10" s="833">
        <f>SUM(G10:P10)</f>
        <v>14573</v>
      </c>
      <c r="G10" s="834">
        <v>1050</v>
      </c>
      <c r="H10" s="835">
        <v>2567</v>
      </c>
      <c r="I10" s="835">
        <v>2002</v>
      </c>
      <c r="J10" s="835">
        <f>'[4]mam non'!F242</f>
        <v>269</v>
      </c>
      <c r="K10" s="835">
        <v>1657</v>
      </c>
      <c r="L10" s="835">
        <v>1133</v>
      </c>
      <c r="M10" s="835">
        <v>1780</v>
      </c>
      <c r="N10" s="835">
        <v>892</v>
      </c>
      <c r="O10" s="835">
        <v>2323</v>
      </c>
      <c r="P10" s="835">
        <v>900</v>
      </c>
      <c r="Q10" s="836">
        <f t="shared" si="2"/>
        <v>95.62156726231918</v>
      </c>
      <c r="R10" s="836">
        <f t="shared" si="2"/>
        <v>117.89499231453766</v>
      </c>
    </row>
    <row r="11" spans="1:30" s="821" customFormat="1" ht="15.75" customHeight="1">
      <c r="A11" s="837"/>
      <c r="B11" s="831" t="s">
        <v>734</v>
      </c>
      <c r="C11" s="532" t="s">
        <v>735</v>
      </c>
      <c r="D11" s="832">
        <v>45591</v>
      </c>
      <c r="E11" s="832">
        <v>45230</v>
      </c>
      <c r="F11" s="833">
        <f>SUM(G11:P11)</f>
        <v>44507</v>
      </c>
      <c r="G11" s="834">
        <v>3800</v>
      </c>
      <c r="H11" s="835">
        <v>7073</v>
      </c>
      <c r="I11" s="835">
        <f>'[4]mam non'!F202</f>
        <v>5448</v>
      </c>
      <c r="J11" s="835">
        <f>908-J10</f>
        <v>639</v>
      </c>
      <c r="K11" s="835">
        <v>4033</v>
      </c>
      <c r="L11" s="835">
        <f>'[4]mam non'!F367</f>
        <v>4247</v>
      </c>
      <c r="M11" s="835">
        <v>5080</v>
      </c>
      <c r="N11" s="835">
        <f>'[4]mam non'!F477</f>
        <v>3398</v>
      </c>
      <c r="O11" s="835">
        <f>'[4]mam non'!F532</f>
        <v>6007</v>
      </c>
      <c r="P11" s="835">
        <v>4782</v>
      </c>
      <c r="Q11" s="836">
        <f t="shared" si="2"/>
        <v>99.20817705248844</v>
      </c>
      <c r="R11" s="836">
        <f t="shared" si="2"/>
        <v>98.40150342692903</v>
      </c>
      <c r="T11" s="838"/>
      <c r="U11" s="838"/>
      <c r="V11" s="838"/>
      <c r="W11" s="838"/>
      <c r="X11" s="838"/>
      <c r="Y11" s="838"/>
      <c r="Z11" s="838"/>
      <c r="AA11" s="838"/>
      <c r="AB11" s="838"/>
      <c r="AD11" s="821">
        <f>926-269</f>
        <v>657</v>
      </c>
    </row>
    <row r="12" spans="1:28" s="821" customFormat="1" ht="15.75" customHeight="1">
      <c r="A12" s="839"/>
      <c r="B12" s="831" t="s">
        <v>736</v>
      </c>
      <c r="C12" s="532" t="s">
        <v>735</v>
      </c>
      <c r="D12" s="832">
        <v>16139</v>
      </c>
      <c r="E12" s="832">
        <v>14847</v>
      </c>
      <c r="F12" s="833">
        <f>SUM(G12:P12)</f>
        <v>15346</v>
      </c>
      <c r="G12" s="834">
        <v>1243</v>
      </c>
      <c r="H12" s="835">
        <v>2447</v>
      </c>
      <c r="I12" s="835">
        <f>'[4]mam non'!F213</f>
        <v>1886</v>
      </c>
      <c r="J12" s="835">
        <f>'[4]mam non'!F268</f>
        <v>210</v>
      </c>
      <c r="K12" s="835">
        <f>'[4]mam non'!F323</f>
        <v>1451</v>
      </c>
      <c r="L12" s="835">
        <f>'[4]mam non'!F378</f>
        <v>1470</v>
      </c>
      <c r="M12" s="835">
        <f>'[4]mam non'!F433</f>
        <v>1650</v>
      </c>
      <c r="N12" s="835">
        <f>'[4]mam non'!F488</f>
        <v>1193</v>
      </c>
      <c r="O12" s="835">
        <f>'[4]mam non'!F543</f>
        <v>2116</v>
      </c>
      <c r="P12" s="835">
        <v>1680</v>
      </c>
      <c r="Q12" s="836">
        <f t="shared" si="2"/>
        <v>91.99454736972551</v>
      </c>
      <c r="R12" s="836">
        <f t="shared" si="2"/>
        <v>103.36094833973193</v>
      </c>
      <c r="T12" s="838"/>
      <c r="U12" s="838"/>
      <c r="V12" s="838"/>
      <c r="W12" s="838"/>
      <c r="X12" s="838"/>
      <c r="Y12" s="838"/>
      <c r="Z12" s="838"/>
      <c r="AA12" s="838"/>
      <c r="AB12" s="838"/>
    </row>
    <row r="13" spans="1:28" s="821" customFormat="1" ht="15.75" customHeight="1">
      <c r="A13" s="840" t="s">
        <v>737</v>
      </c>
      <c r="B13" s="531" t="s">
        <v>738</v>
      </c>
      <c r="C13" s="532" t="s">
        <v>739</v>
      </c>
      <c r="D13" s="826">
        <f>D14+D15</f>
        <v>2402</v>
      </c>
      <c r="E13" s="826">
        <f>SUM(E14:E15)</f>
        <v>2320</v>
      </c>
      <c r="F13" s="827">
        <f aca="true" t="shared" si="3" ref="F13:P13">SUM(F14:F15)</f>
        <v>2408</v>
      </c>
      <c r="G13" s="828">
        <f t="shared" si="3"/>
        <v>163</v>
      </c>
      <c r="H13" s="829">
        <f t="shared" si="3"/>
        <v>400</v>
      </c>
      <c r="I13" s="829">
        <f t="shared" si="3"/>
        <v>297</v>
      </c>
      <c r="J13" s="829">
        <f t="shared" si="3"/>
        <v>44</v>
      </c>
      <c r="K13" s="829">
        <f t="shared" si="3"/>
        <v>283</v>
      </c>
      <c r="L13" s="829">
        <f t="shared" si="3"/>
        <v>216</v>
      </c>
      <c r="M13" s="829">
        <f t="shared" si="3"/>
        <v>292</v>
      </c>
      <c r="N13" s="829">
        <f t="shared" si="3"/>
        <v>181</v>
      </c>
      <c r="O13" s="829">
        <f t="shared" si="3"/>
        <v>316</v>
      </c>
      <c r="P13" s="829">
        <f t="shared" si="3"/>
        <v>216</v>
      </c>
      <c r="Q13" s="820">
        <f t="shared" si="2"/>
        <v>96.58617818484596</v>
      </c>
      <c r="R13" s="820">
        <f t="shared" si="2"/>
        <v>103.79310344827586</v>
      </c>
      <c r="T13" s="822"/>
      <c r="U13" s="838"/>
      <c r="V13" s="838"/>
      <c r="W13" s="838"/>
      <c r="X13" s="838"/>
      <c r="Y13" s="838"/>
      <c r="Z13" s="838"/>
      <c r="AA13" s="838"/>
      <c r="AB13" s="838"/>
    </row>
    <row r="14" spans="1:28" s="821" customFormat="1" ht="15.75" customHeight="1">
      <c r="A14" s="830"/>
      <c r="B14" s="841" t="s">
        <v>740</v>
      </c>
      <c r="C14" s="532" t="s">
        <v>741</v>
      </c>
      <c r="D14" s="842">
        <v>596</v>
      </c>
      <c r="E14" s="832">
        <v>565</v>
      </c>
      <c r="F14" s="833">
        <f>SUM(G14:P14)</f>
        <v>651</v>
      </c>
      <c r="G14" s="834">
        <v>47</v>
      </c>
      <c r="H14" s="835">
        <f>'[4]mam non'!F129</f>
        <v>118</v>
      </c>
      <c r="I14" s="835">
        <v>87</v>
      </c>
      <c r="J14" s="835">
        <f>'[4]mam non'!F239</f>
        <v>15</v>
      </c>
      <c r="K14" s="835">
        <v>100</v>
      </c>
      <c r="L14" s="835">
        <v>32</v>
      </c>
      <c r="M14" s="835">
        <v>87</v>
      </c>
      <c r="N14" s="835">
        <f>'[4]mam non'!F459</f>
        <v>35</v>
      </c>
      <c r="O14" s="835">
        <f>'[4]mam non'!F514</f>
        <v>88</v>
      </c>
      <c r="P14" s="835">
        <v>42</v>
      </c>
      <c r="Q14" s="836">
        <f t="shared" si="2"/>
        <v>94.79865771812081</v>
      </c>
      <c r="R14" s="836">
        <f t="shared" si="2"/>
        <v>115.22123893805309</v>
      </c>
      <c r="T14" s="838"/>
      <c r="U14" s="838"/>
      <c r="V14" s="838"/>
      <c r="W14" s="838"/>
      <c r="X14" s="838"/>
      <c r="Y14" s="838"/>
      <c r="Z14" s="838"/>
      <c r="AA14" s="838"/>
      <c r="AB14" s="838"/>
    </row>
    <row r="15" spans="1:28" s="821" customFormat="1" ht="15.75" customHeight="1">
      <c r="A15" s="837"/>
      <c r="B15" s="843" t="s">
        <v>742</v>
      </c>
      <c r="C15" s="532" t="s">
        <v>743</v>
      </c>
      <c r="D15" s="832">
        <v>1806</v>
      </c>
      <c r="E15" s="832">
        <v>1755</v>
      </c>
      <c r="F15" s="833">
        <f>SUM(G15:P15)</f>
        <v>1757</v>
      </c>
      <c r="G15" s="834">
        <v>116</v>
      </c>
      <c r="H15" s="835">
        <f>'[4]mam non'!F144</f>
        <v>282</v>
      </c>
      <c r="I15" s="835">
        <f>'[4]mam non'!F199</f>
        <v>210</v>
      </c>
      <c r="J15" s="835">
        <f>'[4]mam non'!F254</f>
        <v>29</v>
      </c>
      <c r="K15" s="835">
        <v>183</v>
      </c>
      <c r="L15" s="835">
        <f>'[4]mam non'!F364</f>
        <v>184</v>
      </c>
      <c r="M15" s="835">
        <f>'[4]mam non'!F419</f>
        <v>205</v>
      </c>
      <c r="N15" s="835">
        <f>'[4]mam non'!F474</f>
        <v>146</v>
      </c>
      <c r="O15" s="835">
        <f>'[4]mam non'!F529</f>
        <v>228</v>
      </c>
      <c r="P15" s="835">
        <f>'[4]mam non'!F584</f>
        <v>174</v>
      </c>
      <c r="Q15" s="836">
        <f t="shared" si="2"/>
        <v>97.17607973421927</v>
      </c>
      <c r="R15" s="836">
        <f t="shared" si="2"/>
        <v>100.11396011396012</v>
      </c>
      <c r="T15" s="838"/>
      <c r="U15" s="838"/>
      <c r="V15" s="838"/>
      <c r="W15" s="838"/>
      <c r="X15" s="838"/>
      <c r="Y15" s="838"/>
      <c r="Z15" s="838"/>
      <c r="AA15" s="838"/>
      <c r="AB15" s="838"/>
    </row>
    <row r="16" spans="1:18" s="821" customFormat="1" ht="15.75" customHeight="1">
      <c r="A16" s="839"/>
      <c r="B16" s="843" t="s">
        <v>744</v>
      </c>
      <c r="C16" s="532" t="s">
        <v>739</v>
      </c>
      <c r="D16" s="842">
        <v>1057</v>
      </c>
      <c r="E16" s="832">
        <v>1046</v>
      </c>
      <c r="F16" s="833">
        <f>SUM(G16:P16)</f>
        <v>997.7826086956522</v>
      </c>
      <c r="G16" s="834">
        <v>41</v>
      </c>
      <c r="H16" s="834">
        <v>140</v>
      </c>
      <c r="I16" s="834">
        <v>130</v>
      </c>
      <c r="J16" s="834">
        <f>J12/(230/14)</f>
        <v>12.782608695652176</v>
      </c>
      <c r="K16" s="834">
        <v>110</v>
      </c>
      <c r="L16" s="834">
        <v>120</v>
      </c>
      <c r="M16" s="834">
        <v>135</v>
      </c>
      <c r="N16" s="834">
        <v>78</v>
      </c>
      <c r="O16" s="834">
        <v>126</v>
      </c>
      <c r="P16" s="834">
        <v>105</v>
      </c>
      <c r="Q16" s="836">
        <f t="shared" si="2"/>
        <v>98.9593188268685</v>
      </c>
      <c r="R16" s="836">
        <f t="shared" si="2"/>
        <v>95.39030675866657</v>
      </c>
    </row>
    <row r="17" spans="1:18" s="821" customFormat="1" ht="15.75" customHeight="1">
      <c r="A17" s="844" t="s">
        <v>745</v>
      </c>
      <c r="B17" s="531" t="s">
        <v>746</v>
      </c>
      <c r="C17" s="532"/>
      <c r="D17" s="832"/>
      <c r="E17" s="845"/>
      <c r="F17" s="845"/>
      <c r="G17" s="846"/>
      <c r="H17" s="846"/>
      <c r="I17" s="846"/>
      <c r="J17" s="846"/>
      <c r="K17" s="846"/>
      <c r="L17" s="846"/>
      <c r="M17" s="846"/>
      <c r="N17" s="846"/>
      <c r="O17" s="846"/>
      <c r="P17" s="846"/>
      <c r="Q17" s="820"/>
      <c r="R17" s="820"/>
    </row>
    <row r="18" spans="1:18" s="821" customFormat="1" ht="15.75" customHeight="1">
      <c r="A18" s="830"/>
      <c r="B18" s="831" t="s">
        <v>747</v>
      </c>
      <c r="C18" s="532" t="s">
        <v>21</v>
      </c>
      <c r="D18" s="847">
        <v>69.7</v>
      </c>
      <c r="E18" s="847">
        <v>70.1</v>
      </c>
      <c r="F18" s="848">
        <v>72.68428032920829</v>
      </c>
      <c r="G18" s="848">
        <v>77.39707104213976</v>
      </c>
      <c r="H18" s="848">
        <v>78.30062365985503</v>
      </c>
      <c r="I18" s="848">
        <v>73.56188217977379</v>
      </c>
      <c r="J18" s="848">
        <v>79.5</v>
      </c>
      <c r="K18" s="848">
        <v>75.94448727833462</v>
      </c>
      <c r="L18" s="848">
        <v>69.69461697722568</v>
      </c>
      <c r="M18" s="848">
        <v>69.24629199878922</v>
      </c>
      <c r="N18" s="848">
        <v>73.98581262743616</v>
      </c>
      <c r="O18" s="848">
        <v>75.03603010732724</v>
      </c>
      <c r="P18" s="848">
        <v>60</v>
      </c>
      <c r="Q18" s="836">
        <f>E18-D18</f>
        <v>0.3999999999999915</v>
      </c>
      <c r="R18" s="836">
        <f>F18-E18</f>
        <v>2.5842803292082976</v>
      </c>
    </row>
    <row r="19" spans="1:18" s="821" customFormat="1" ht="15.75" customHeight="1">
      <c r="A19" s="837"/>
      <c r="B19" s="831" t="s">
        <v>748</v>
      </c>
      <c r="C19" s="532" t="s">
        <v>21</v>
      </c>
      <c r="D19" s="847">
        <v>48</v>
      </c>
      <c r="E19" s="847">
        <v>48.3</v>
      </c>
      <c r="F19" s="848">
        <v>48.0987727546999</v>
      </c>
      <c r="G19" s="848">
        <v>47.2</v>
      </c>
      <c r="H19" s="848">
        <v>48.5</v>
      </c>
      <c r="I19" s="848">
        <v>48.1</v>
      </c>
      <c r="J19" s="848">
        <v>46.8</v>
      </c>
      <c r="K19" s="848">
        <v>49</v>
      </c>
      <c r="L19" s="848">
        <v>48</v>
      </c>
      <c r="M19" s="848">
        <v>48.4</v>
      </c>
      <c r="N19" s="848" t="s">
        <v>1265</v>
      </c>
      <c r="O19" s="848">
        <v>48.5</v>
      </c>
      <c r="P19" s="848">
        <v>45.93210695998483</v>
      </c>
      <c r="Q19" s="836">
        <f aca="true" t="shared" si="4" ref="Q19:R24">E19-D19</f>
        <v>0.29999999999999716</v>
      </c>
      <c r="R19" s="836">
        <f t="shared" si="4"/>
        <v>-0.20122724530009606</v>
      </c>
    </row>
    <row r="20" spans="1:18" s="821" customFormat="1" ht="15.75" customHeight="1">
      <c r="A20" s="837"/>
      <c r="B20" s="831" t="s">
        <v>749</v>
      </c>
      <c r="C20" s="532" t="s">
        <v>21</v>
      </c>
      <c r="D20" s="847">
        <v>3.9</v>
      </c>
      <c r="E20" s="847">
        <v>7.9</v>
      </c>
      <c r="F20" s="848">
        <v>3.7</v>
      </c>
      <c r="G20" s="848">
        <v>2</v>
      </c>
      <c r="H20" s="848">
        <v>3.9</v>
      </c>
      <c r="I20" s="848">
        <v>5.1</v>
      </c>
      <c r="J20" s="848">
        <v>2.7</v>
      </c>
      <c r="K20" s="848">
        <f>'[4]mam non'!F332</f>
        <v>4</v>
      </c>
      <c r="L20" s="848">
        <v>3.3</v>
      </c>
      <c r="M20" s="848">
        <v>4.2</v>
      </c>
      <c r="N20" s="848">
        <f>'[4]mam non'!F497</f>
        <v>3.9</v>
      </c>
      <c r="O20" s="848">
        <f>'[4]mam non'!F552</f>
        <v>4</v>
      </c>
      <c r="P20" s="848">
        <v>4.1</v>
      </c>
      <c r="Q20" s="836">
        <f t="shared" si="4"/>
        <v>4</v>
      </c>
      <c r="R20" s="836">
        <f t="shared" si="4"/>
        <v>-4.2</v>
      </c>
    </row>
    <row r="21" spans="1:18" s="821" customFormat="1" ht="15.75" customHeight="1">
      <c r="A21" s="837"/>
      <c r="B21" s="831" t="s">
        <v>750</v>
      </c>
      <c r="C21" s="532" t="s">
        <v>21</v>
      </c>
      <c r="D21" s="847">
        <v>4.8</v>
      </c>
      <c r="E21" s="847">
        <v>8.6</v>
      </c>
      <c r="F21" s="848">
        <v>4.6</v>
      </c>
      <c r="G21" s="848">
        <f>'[4]mam non'!F113</f>
        <v>2.5</v>
      </c>
      <c r="H21" s="848">
        <f>'[4]mam non'!F168</f>
        <v>4.8</v>
      </c>
      <c r="I21" s="848">
        <f>'[4]mam non'!F223</f>
        <v>5.3</v>
      </c>
      <c r="J21" s="848">
        <f>'[4]mam non'!F278</f>
        <v>4.1</v>
      </c>
      <c r="K21" s="848">
        <f>'[4]mam non'!F333</f>
        <v>4.1</v>
      </c>
      <c r="L21" s="848">
        <f>'[4]mam non'!F388</f>
        <v>4</v>
      </c>
      <c r="M21" s="848">
        <f>'[4]mam non'!F443</f>
        <v>4.7</v>
      </c>
      <c r="N21" s="848">
        <f>'[4]mam non'!F498</f>
        <v>5</v>
      </c>
      <c r="O21" s="848">
        <f>'[4]mam non'!F553</f>
        <v>4.5</v>
      </c>
      <c r="P21" s="848">
        <f>'[4]mam non'!F608</f>
        <v>5.9</v>
      </c>
      <c r="Q21" s="836">
        <f t="shared" si="4"/>
        <v>3.8</v>
      </c>
      <c r="R21" s="836">
        <f t="shared" si="4"/>
        <v>-4</v>
      </c>
    </row>
    <row r="22" spans="1:18" s="821" customFormat="1" ht="30.75" customHeight="1">
      <c r="A22" s="837"/>
      <c r="B22" s="831" t="s">
        <v>751</v>
      </c>
      <c r="C22" s="532" t="s">
        <v>21</v>
      </c>
      <c r="D22" s="849">
        <v>33.9</v>
      </c>
      <c r="E22" s="847">
        <v>34.5</v>
      </c>
      <c r="F22" s="849">
        <v>40.2</v>
      </c>
      <c r="G22" s="849">
        <f>'[4]mam non'!F87</f>
        <v>43.5</v>
      </c>
      <c r="H22" s="849">
        <v>47</v>
      </c>
      <c r="I22" s="849">
        <f>'[4]mam non'!F197</f>
        <v>42.9</v>
      </c>
      <c r="J22" s="849">
        <v>53.7</v>
      </c>
      <c r="K22" s="849">
        <f>'[4]mam non'!F307</f>
        <v>47.463359639233374</v>
      </c>
      <c r="L22" s="849">
        <v>31.5</v>
      </c>
      <c r="M22" s="849">
        <f>'[4]mam non'!F417</f>
        <v>38.07692307692308</v>
      </c>
      <c r="N22" s="849">
        <v>38.8</v>
      </c>
      <c r="O22" s="849">
        <f>'[4]mam non'!F527</f>
        <v>45.7</v>
      </c>
      <c r="P22" s="849">
        <v>22.2</v>
      </c>
      <c r="Q22" s="836">
        <f t="shared" si="4"/>
        <v>0.6000000000000014</v>
      </c>
      <c r="R22" s="836">
        <f t="shared" si="4"/>
        <v>5.700000000000003</v>
      </c>
    </row>
    <row r="23" spans="1:18" s="821" customFormat="1" ht="15.75" customHeight="1">
      <c r="A23" s="837"/>
      <c r="B23" s="831" t="s">
        <v>752</v>
      </c>
      <c r="C23" s="532" t="s">
        <v>21</v>
      </c>
      <c r="D23" s="847">
        <v>98.7</v>
      </c>
      <c r="E23" s="847">
        <v>98.1</v>
      </c>
      <c r="F23" s="847">
        <v>99.3</v>
      </c>
      <c r="G23" s="847">
        <f>'[4]mam non'!F107</f>
        <v>99.9</v>
      </c>
      <c r="H23" s="847">
        <v>99.86</v>
      </c>
      <c r="I23" s="847">
        <f>'[4]mam non'!F217</f>
        <v>99.8</v>
      </c>
      <c r="J23" s="847">
        <f>'[4]mam non'!F272</f>
        <v>99</v>
      </c>
      <c r="K23" s="847">
        <f>'[4]mam non'!F327</f>
        <v>99.81105337742088</v>
      </c>
      <c r="L23" s="847">
        <v>98.6</v>
      </c>
      <c r="M23" s="847">
        <f>'[4]mam non'!F437</f>
        <v>97.13247944943605</v>
      </c>
      <c r="N23" s="847">
        <f>'[4]mam non'!F492</f>
        <v>99.85307081986483</v>
      </c>
      <c r="O23" s="847">
        <f>'[4]mam non'!F547</f>
        <v>99.8</v>
      </c>
      <c r="P23" s="847">
        <f>'[4]mam non'!F602</f>
        <v>99.36868686868686</v>
      </c>
      <c r="Q23" s="836">
        <f t="shared" si="4"/>
        <v>-0.6000000000000085</v>
      </c>
      <c r="R23" s="836">
        <f t="shared" si="4"/>
        <v>1.2000000000000028</v>
      </c>
    </row>
    <row r="24" spans="1:18" s="821" customFormat="1" ht="15.75" customHeight="1">
      <c r="A24" s="839"/>
      <c r="B24" s="831" t="s">
        <v>753</v>
      </c>
      <c r="C24" s="532" t="s">
        <v>21</v>
      </c>
      <c r="D24" s="847">
        <v>99.7</v>
      </c>
      <c r="E24" s="847">
        <v>99.5</v>
      </c>
      <c r="F24" s="847">
        <v>99.93811519238415</v>
      </c>
      <c r="G24" s="847">
        <f>'[4]mam non'!F105</f>
        <v>99.9</v>
      </c>
      <c r="H24" s="847">
        <f>'[4]mam non'!F160</f>
        <v>99.88230678697528</v>
      </c>
      <c r="I24" s="850">
        <f>'[4]mam non'!F215</f>
        <v>100</v>
      </c>
      <c r="J24" s="847">
        <f>'[4]mam non'!F270</f>
        <v>99.52606635071089</v>
      </c>
      <c r="K24" s="847">
        <f>'[4]mam non'!F325</f>
        <v>100</v>
      </c>
      <c r="L24" s="850">
        <f>'[4]mam non'!F380</f>
        <v>100</v>
      </c>
      <c r="M24" s="850">
        <f>'[4]mam non'!F435</f>
        <v>100</v>
      </c>
      <c r="N24" s="847">
        <v>99.6</v>
      </c>
      <c r="O24" s="847">
        <f>'[4]mam non'!F545</f>
        <v>99.8</v>
      </c>
      <c r="P24" s="850">
        <f>'[4]mam non'!F600</f>
        <v>100</v>
      </c>
      <c r="Q24" s="836">
        <f t="shared" si="4"/>
        <v>-0.20000000000000284</v>
      </c>
      <c r="R24" s="836">
        <f t="shared" si="4"/>
        <v>0.43811519238414576</v>
      </c>
    </row>
    <row r="25" spans="1:20" s="821" customFormat="1" ht="15.75" customHeight="1">
      <c r="A25" s="840">
        <v>2</v>
      </c>
      <c r="B25" s="823" t="s">
        <v>754</v>
      </c>
      <c r="C25" s="532"/>
      <c r="D25" s="851"/>
      <c r="E25" s="874"/>
      <c r="F25" s="846"/>
      <c r="G25" s="832"/>
      <c r="H25" s="832"/>
      <c r="I25" s="832"/>
      <c r="J25" s="832"/>
      <c r="K25" s="832"/>
      <c r="L25" s="832"/>
      <c r="M25" s="832"/>
      <c r="N25" s="832"/>
      <c r="O25" s="832"/>
      <c r="P25" s="832"/>
      <c r="Q25" s="820"/>
      <c r="R25" s="820"/>
      <c r="T25" s="822"/>
    </row>
    <row r="26" spans="1:18" s="821" customFormat="1" ht="15.75" customHeight="1">
      <c r="A26" s="1026" t="s">
        <v>755</v>
      </c>
      <c r="B26" s="531" t="s">
        <v>756</v>
      </c>
      <c r="C26" s="532" t="s">
        <v>757</v>
      </c>
      <c r="D26" s="819">
        <f>D35+D44+D53</f>
        <v>127000</v>
      </c>
      <c r="E26" s="819">
        <f>E35+E44+E53</f>
        <v>131692</v>
      </c>
      <c r="F26" s="819">
        <f>F35+F44+F53</f>
        <v>133780</v>
      </c>
      <c r="G26" s="819">
        <f>G35+G44+G53</f>
        <v>13410</v>
      </c>
      <c r="H26" s="819">
        <f aca="true" t="shared" si="5" ref="H26:P26">H35+H44+H53</f>
        <v>22700</v>
      </c>
      <c r="I26" s="819">
        <f t="shared" si="5"/>
        <v>15200</v>
      </c>
      <c r="J26" s="819">
        <f t="shared" si="5"/>
        <v>2370</v>
      </c>
      <c r="K26" s="819">
        <f t="shared" si="5"/>
        <v>11770</v>
      </c>
      <c r="L26" s="819">
        <f t="shared" si="5"/>
        <v>11870</v>
      </c>
      <c r="M26" s="819">
        <f t="shared" si="5"/>
        <v>13800</v>
      </c>
      <c r="N26" s="819">
        <f t="shared" si="5"/>
        <v>10800</v>
      </c>
      <c r="O26" s="819">
        <f t="shared" si="5"/>
        <v>18050</v>
      </c>
      <c r="P26" s="819">
        <f t="shared" si="5"/>
        <v>13810</v>
      </c>
      <c r="Q26" s="820">
        <f aca="true" t="shared" si="6" ref="Q26:R28">E26/D26*100</f>
        <v>103.69448818897638</v>
      </c>
      <c r="R26" s="820">
        <f t="shared" si="6"/>
        <v>101.58551772317226</v>
      </c>
    </row>
    <row r="27" spans="1:18" s="821" customFormat="1" ht="15.75" customHeight="1">
      <c r="A27" s="830"/>
      <c r="B27" s="841" t="s">
        <v>758</v>
      </c>
      <c r="C27" s="532" t="s">
        <v>757</v>
      </c>
      <c r="D27" s="852">
        <f>D36+D45+D55</f>
        <v>39943</v>
      </c>
      <c r="E27" s="852">
        <f>E36+E45+E55</f>
        <v>45124</v>
      </c>
      <c r="F27" s="852">
        <f>SUM(G27:P27)</f>
        <v>47282</v>
      </c>
      <c r="G27" s="853">
        <f>G36+G45+G55</f>
        <v>440</v>
      </c>
      <c r="H27" s="853">
        <f aca="true" t="shared" si="7" ref="H27:P27">H36+H45+H55</f>
        <v>4422</v>
      </c>
      <c r="I27" s="853">
        <f t="shared" si="7"/>
        <v>7999</v>
      </c>
      <c r="J27" s="853">
        <f t="shared" si="7"/>
        <v>324</v>
      </c>
      <c r="K27" s="853">
        <f t="shared" si="7"/>
        <v>5025</v>
      </c>
      <c r="L27" s="853">
        <f t="shared" si="7"/>
        <v>7081</v>
      </c>
      <c r="M27" s="853">
        <f t="shared" si="7"/>
        <v>7934</v>
      </c>
      <c r="N27" s="853">
        <f t="shared" si="7"/>
        <v>2350</v>
      </c>
      <c r="O27" s="853">
        <f t="shared" si="7"/>
        <v>4850</v>
      </c>
      <c r="P27" s="853">
        <f t="shared" si="7"/>
        <v>6857</v>
      </c>
      <c r="Q27" s="836">
        <f t="shared" si="6"/>
        <v>112.97098365170368</v>
      </c>
      <c r="R27" s="836">
        <f t="shared" si="6"/>
        <v>104.78237744880774</v>
      </c>
    </row>
    <row r="28" spans="1:18" s="821" customFormat="1" ht="15.75" customHeight="1">
      <c r="A28" s="1026" t="s">
        <v>759</v>
      </c>
      <c r="B28" s="531" t="s">
        <v>760</v>
      </c>
      <c r="C28" s="532" t="s">
        <v>739</v>
      </c>
      <c r="D28" s="819">
        <f>D37+D46+D56</f>
        <v>4970</v>
      </c>
      <c r="E28" s="819">
        <f>E37+E46+E56</f>
        <v>4782</v>
      </c>
      <c r="F28" s="819">
        <f>F37+F46+F56</f>
        <v>4853</v>
      </c>
      <c r="G28" s="819">
        <f aca="true" t="shared" si="8" ref="G28:P28">G37+G46+G56</f>
        <v>382</v>
      </c>
      <c r="H28" s="819">
        <f t="shared" si="8"/>
        <v>818</v>
      </c>
      <c r="I28" s="819">
        <f t="shared" si="8"/>
        <v>585</v>
      </c>
      <c r="J28" s="819">
        <f t="shared" si="8"/>
        <v>92</v>
      </c>
      <c r="K28" s="819">
        <f t="shared" si="8"/>
        <v>465</v>
      </c>
      <c r="L28" s="819">
        <f t="shared" si="8"/>
        <v>456</v>
      </c>
      <c r="M28" s="819">
        <f t="shared" si="8"/>
        <v>524</v>
      </c>
      <c r="N28" s="819">
        <f t="shared" si="8"/>
        <v>390</v>
      </c>
      <c r="O28" s="819">
        <f t="shared" si="8"/>
        <v>688</v>
      </c>
      <c r="P28" s="819">
        <f t="shared" si="8"/>
        <v>453</v>
      </c>
      <c r="Q28" s="820">
        <f t="shared" si="6"/>
        <v>96.21730382293762</v>
      </c>
      <c r="R28" s="820">
        <f t="shared" si="6"/>
        <v>101.48473442074446</v>
      </c>
    </row>
    <row r="29" spans="1:18" s="821" customFormat="1" ht="15.75" customHeight="1">
      <c r="A29" s="854" t="s">
        <v>761</v>
      </c>
      <c r="B29" s="855" t="s">
        <v>746</v>
      </c>
      <c r="C29" s="417"/>
      <c r="D29" s="832"/>
      <c r="E29" s="882"/>
      <c r="F29" s="836"/>
      <c r="G29" s="836"/>
      <c r="H29" s="836"/>
      <c r="I29" s="836"/>
      <c r="J29" s="836"/>
      <c r="K29" s="836"/>
      <c r="L29" s="836"/>
      <c r="M29" s="836"/>
      <c r="N29" s="836"/>
      <c r="O29" s="836"/>
      <c r="P29" s="836"/>
      <c r="Q29" s="820"/>
      <c r="R29" s="820"/>
    </row>
    <row r="30" spans="1:18" s="821" customFormat="1" ht="15.75" customHeight="1">
      <c r="A30" s="830"/>
      <c r="B30" s="843" t="s">
        <v>762</v>
      </c>
      <c r="C30" s="417" t="s">
        <v>21</v>
      </c>
      <c r="D30" s="848">
        <v>46.5</v>
      </c>
      <c r="E30" s="1577">
        <v>46.4</v>
      </c>
      <c r="F30" s="836">
        <v>46.604975134999556</v>
      </c>
      <c r="G30" s="848">
        <v>47.195664963616665</v>
      </c>
      <c r="H30" s="848">
        <v>46.69355814958928</v>
      </c>
      <c r="I30" s="848">
        <v>45.59821541417051</v>
      </c>
      <c r="J30" s="848">
        <v>46.51530815109344</v>
      </c>
      <c r="K30" s="848">
        <v>47.054468802698146</v>
      </c>
      <c r="L30" s="848">
        <v>46.327983706720985</v>
      </c>
      <c r="M30" s="848">
        <v>46.771995480864284</v>
      </c>
      <c r="N30" s="848">
        <v>46.79240346445327</v>
      </c>
      <c r="O30" s="848">
        <v>47.307639257294426</v>
      </c>
      <c r="P30" s="848">
        <v>45.66648104371832</v>
      </c>
      <c r="Q30" s="836">
        <f>E30-D30</f>
        <v>-0.10000000000000142</v>
      </c>
      <c r="R30" s="836">
        <f>F30-E30</f>
        <v>0.20497513499955744</v>
      </c>
    </row>
    <row r="31" spans="1:18" s="821" customFormat="1" ht="15.75" customHeight="1">
      <c r="A31" s="837"/>
      <c r="B31" s="843" t="s">
        <v>763</v>
      </c>
      <c r="C31" s="417" t="s">
        <v>21</v>
      </c>
      <c r="D31" s="848">
        <v>84</v>
      </c>
      <c r="E31" s="836">
        <v>85.9</v>
      </c>
      <c r="F31" s="836">
        <f>SUM(G31:P31)/10</f>
        <v>85.93666666666665</v>
      </c>
      <c r="G31" s="836">
        <f>(G39+G48+G58)/3</f>
        <v>98.2</v>
      </c>
      <c r="H31" s="836">
        <f aca="true" t="shared" si="9" ref="H31:P31">(H39+H48+H58)/3</f>
        <v>88.56666666666666</v>
      </c>
      <c r="I31" s="836">
        <f t="shared" si="9"/>
        <v>83.23333333333333</v>
      </c>
      <c r="J31" s="836">
        <f t="shared" si="9"/>
        <v>90.83333333333333</v>
      </c>
      <c r="K31" s="836">
        <f t="shared" si="9"/>
        <v>82.89999999999999</v>
      </c>
      <c r="L31" s="836">
        <f t="shared" si="9"/>
        <v>83.13333333333334</v>
      </c>
      <c r="M31" s="836">
        <f t="shared" si="9"/>
        <v>83.53333333333333</v>
      </c>
      <c r="N31" s="836">
        <f t="shared" si="9"/>
        <v>84.43333333333334</v>
      </c>
      <c r="O31" s="836">
        <f t="shared" si="9"/>
        <v>84.5</v>
      </c>
      <c r="P31" s="836">
        <f t="shared" si="9"/>
        <v>80.03333333333335</v>
      </c>
      <c r="Q31" s="836">
        <f aca="true" t="shared" si="10" ref="Q31:R33">E31-D31</f>
        <v>1.9000000000000057</v>
      </c>
      <c r="R31" s="836">
        <f t="shared" si="10"/>
        <v>0.03666666666664753</v>
      </c>
    </row>
    <row r="32" spans="1:18" s="821" customFormat="1" ht="15.75" customHeight="1">
      <c r="A32" s="837"/>
      <c r="B32" s="843" t="s">
        <v>764</v>
      </c>
      <c r="C32" s="417" t="s">
        <v>21</v>
      </c>
      <c r="D32" s="856">
        <v>0.6152270858371812</v>
      </c>
      <c r="E32" s="856">
        <v>0.5324836198257921</v>
      </c>
      <c r="F32" s="836">
        <f>SUM(G32:P32)/10</f>
        <v>0.474898113671249</v>
      </c>
      <c r="G32" s="857">
        <f>((G35*G41/100)+(G44*G50/100)+(G53*G60/100))/G26*100</f>
        <v>0.12545737656145553</v>
      </c>
      <c r="H32" s="857">
        <f aca="true" t="shared" si="11" ref="H32:P32">((H35*H41/100)+(H44*H50/100)+(H53*H60/100))/H26*100</f>
        <v>0.3596160543438797</v>
      </c>
      <c r="I32" s="857">
        <f t="shared" si="11"/>
        <v>0.7560928389507298</v>
      </c>
      <c r="J32" s="857">
        <f t="shared" si="11"/>
        <v>1.0540622477705377</v>
      </c>
      <c r="K32" s="857">
        <f t="shared" si="11"/>
        <v>0.3120289961274379</v>
      </c>
      <c r="L32" s="857">
        <f t="shared" si="11"/>
        <v>0.19560296789516954</v>
      </c>
      <c r="M32" s="857">
        <f t="shared" si="11"/>
        <v>0.5088992166329088</v>
      </c>
      <c r="N32" s="857">
        <f t="shared" si="11"/>
        <v>0.4569187586116244</v>
      </c>
      <c r="O32" s="857">
        <f t="shared" si="11"/>
        <v>0.6162032464838678</v>
      </c>
      <c r="P32" s="857">
        <f t="shared" si="11"/>
        <v>0.36409943333487865</v>
      </c>
      <c r="Q32" s="836">
        <f t="shared" si="10"/>
        <v>-0.08274346601138916</v>
      </c>
      <c r="R32" s="836">
        <f t="shared" si="10"/>
        <v>-0.057585506154543054</v>
      </c>
    </row>
    <row r="33" spans="1:18" s="821" customFormat="1" ht="15.75" customHeight="1">
      <c r="A33" s="839"/>
      <c r="B33" s="843" t="s">
        <v>765</v>
      </c>
      <c r="C33" s="417" t="s">
        <v>21</v>
      </c>
      <c r="D33" s="856">
        <v>0.562347001707888</v>
      </c>
      <c r="E33" s="856">
        <v>0.5356461054406015</v>
      </c>
      <c r="F33" s="857">
        <f>697/F26*100</f>
        <v>0.5210046344745104</v>
      </c>
      <c r="G33" s="857">
        <f>((G35*G42/100)+(G44*G51/100)+(G53*G61/100))/G26*100</f>
        <v>0.6536912751677851</v>
      </c>
      <c r="H33" s="857">
        <f aca="true" t="shared" si="12" ref="H33:P33">((H35*H42/100)+(H44*H51/100)+(H53*H61/100))/H26*100</f>
        <v>0.5295154185022027</v>
      </c>
      <c r="I33" s="857">
        <f t="shared" si="12"/>
        <v>0.7802631578947369</v>
      </c>
      <c r="J33" s="857">
        <f t="shared" si="12"/>
        <v>0.3594936708860759</v>
      </c>
      <c r="K33" s="857">
        <f t="shared" si="12"/>
        <v>0.4400908916959303</v>
      </c>
      <c r="L33" s="857">
        <f t="shared" si="12"/>
        <v>0.3719460825610783</v>
      </c>
      <c r="M33" s="857">
        <f t="shared" si="12"/>
        <v>0.5355072463768117</v>
      </c>
      <c r="N33" s="857">
        <f t="shared" si="12"/>
        <v>0.5351851851851852</v>
      </c>
      <c r="O33" s="857">
        <f t="shared" si="12"/>
        <v>0.32603878116343493</v>
      </c>
      <c r="P33" s="857">
        <f t="shared" si="12"/>
        <v>0.30195510499637945</v>
      </c>
      <c r="Q33" s="836">
        <f t="shared" si="10"/>
        <v>-0.026700896267286445</v>
      </c>
      <c r="R33" s="836">
        <f t="shared" si="10"/>
        <v>-0.014641470966091141</v>
      </c>
    </row>
    <row r="34" spans="1:18" s="821" customFormat="1" ht="15.75" customHeight="1">
      <c r="A34" s="1026" t="s">
        <v>766</v>
      </c>
      <c r="B34" s="531" t="s">
        <v>767</v>
      </c>
      <c r="C34" s="532"/>
      <c r="D34" s="836"/>
      <c r="E34" s="836"/>
      <c r="F34" s="858"/>
      <c r="G34" s="852"/>
      <c r="H34" s="852"/>
      <c r="I34" s="852"/>
      <c r="J34" s="852"/>
      <c r="K34" s="852"/>
      <c r="L34" s="852"/>
      <c r="M34" s="852"/>
      <c r="N34" s="852"/>
      <c r="O34" s="852"/>
      <c r="P34" s="852"/>
      <c r="Q34" s="820"/>
      <c r="R34" s="820"/>
    </row>
    <row r="35" spans="1:18" s="821" customFormat="1" ht="15.75" customHeight="1">
      <c r="A35" s="1026"/>
      <c r="B35" s="531" t="s">
        <v>756</v>
      </c>
      <c r="C35" s="532" t="s">
        <v>757</v>
      </c>
      <c r="D35" s="826">
        <v>66327</v>
      </c>
      <c r="E35" s="826">
        <v>69029</v>
      </c>
      <c r="F35" s="858">
        <f>SUM(G35:P35)</f>
        <v>69400</v>
      </c>
      <c r="G35" s="859">
        <v>5840</v>
      </c>
      <c r="H35" s="859">
        <v>11400</v>
      </c>
      <c r="I35" s="859">
        <v>8250</v>
      </c>
      <c r="J35" s="859">
        <v>1130</v>
      </c>
      <c r="K35" s="859">
        <v>6300</v>
      </c>
      <c r="L35" s="859">
        <v>6420</v>
      </c>
      <c r="M35" s="859">
        <v>7300</v>
      </c>
      <c r="N35" s="859">
        <v>5500</v>
      </c>
      <c r="O35" s="859">
        <v>9650</v>
      </c>
      <c r="P35" s="859">
        <v>7610</v>
      </c>
      <c r="Q35" s="820">
        <f aca="true" t="shared" si="13" ref="Q35:R37">E35/D35*100</f>
        <v>104.07375578572828</v>
      </c>
      <c r="R35" s="820">
        <f t="shared" si="13"/>
        <v>100.53745527242172</v>
      </c>
    </row>
    <row r="36" spans="1:18" s="821" customFormat="1" ht="15.75" customHeight="1">
      <c r="A36" s="830"/>
      <c r="B36" s="843" t="s">
        <v>768</v>
      </c>
      <c r="C36" s="532" t="s">
        <v>757</v>
      </c>
      <c r="D36" s="832">
        <v>16789</v>
      </c>
      <c r="E36" s="832">
        <v>19685</v>
      </c>
      <c r="F36" s="860">
        <f>SUM(G36:P36)</f>
        <v>19840</v>
      </c>
      <c r="G36" s="861">
        <f>'[4]tieu hoc'!F69</f>
        <v>0</v>
      </c>
      <c r="H36" s="862">
        <f>'[4]tieu hoc'!F115</f>
        <v>1547</v>
      </c>
      <c r="I36" s="862">
        <f>'[4]tieu hoc'!F161</f>
        <v>3498</v>
      </c>
      <c r="J36" s="861">
        <f>'[4]tieu hoc'!F207</f>
        <v>2</v>
      </c>
      <c r="K36" s="862">
        <f>'[4]tieu hoc'!F253</f>
        <v>2137</v>
      </c>
      <c r="L36" s="862">
        <f>'[4]tieu hoc'!F299</f>
        <v>2986</v>
      </c>
      <c r="M36" s="862">
        <v>3795</v>
      </c>
      <c r="N36" s="862">
        <v>790</v>
      </c>
      <c r="O36" s="862">
        <f>'[4]tieu hoc'!F437</f>
        <v>1810</v>
      </c>
      <c r="P36" s="862">
        <v>3275</v>
      </c>
      <c r="Q36" s="836">
        <f t="shared" si="13"/>
        <v>117.24938948120793</v>
      </c>
      <c r="R36" s="836">
        <f t="shared" si="13"/>
        <v>100.78740157480314</v>
      </c>
    </row>
    <row r="37" spans="1:18" s="821" customFormat="1" ht="15.75" customHeight="1">
      <c r="A37" s="1026"/>
      <c r="B37" s="531" t="s">
        <v>760</v>
      </c>
      <c r="C37" s="532" t="s">
        <v>739</v>
      </c>
      <c r="D37" s="826">
        <v>3063</v>
      </c>
      <c r="E37" s="826">
        <v>2898</v>
      </c>
      <c r="F37" s="858">
        <f>SUM(G37:P37)</f>
        <v>2929</v>
      </c>
      <c r="G37" s="826">
        <v>162</v>
      </c>
      <c r="H37" s="826">
        <f>'[4]tieu hoc'!F118</f>
        <v>474</v>
      </c>
      <c r="I37" s="826">
        <f>'[4]tieu hoc'!F164</f>
        <v>384</v>
      </c>
      <c r="J37" s="826">
        <f>'[4]tieu hoc'!F210</f>
        <v>52</v>
      </c>
      <c r="K37" s="826">
        <v>301</v>
      </c>
      <c r="L37" s="826">
        <f>'[4]tieu hoc'!F302</f>
        <v>285</v>
      </c>
      <c r="M37" s="826">
        <v>331</v>
      </c>
      <c r="N37" s="826">
        <f>'[4]tieu hoc'!F394</f>
        <v>238</v>
      </c>
      <c r="O37" s="826">
        <f>'[4]tieu hoc'!F440</f>
        <v>420</v>
      </c>
      <c r="P37" s="826">
        <f>'[4]tieu hoc'!F486</f>
        <v>282</v>
      </c>
      <c r="Q37" s="820">
        <f t="shared" si="13"/>
        <v>94.61312438785504</v>
      </c>
      <c r="R37" s="820">
        <f t="shared" si="13"/>
        <v>101.06970324361629</v>
      </c>
    </row>
    <row r="38" spans="1:18" s="821" customFormat="1" ht="15.75" customHeight="1">
      <c r="A38" s="830"/>
      <c r="B38" s="843" t="s">
        <v>769</v>
      </c>
      <c r="C38" s="532" t="s">
        <v>21</v>
      </c>
      <c r="D38" s="847">
        <v>99.8</v>
      </c>
      <c r="E38" s="847">
        <v>99.9</v>
      </c>
      <c r="F38" s="848">
        <f>14090/14104*100</f>
        <v>99.90073737946682</v>
      </c>
      <c r="G38" s="848">
        <f>'[4]tieu hoc'!F77</f>
        <v>99.8</v>
      </c>
      <c r="H38" s="848">
        <f>'[4]tieu hoc'!F123</f>
        <v>99.9</v>
      </c>
      <c r="I38" s="848">
        <f>'[4]tieu hoc'!F169</f>
        <v>100</v>
      </c>
      <c r="J38" s="848">
        <v>99.6</v>
      </c>
      <c r="K38" s="848">
        <f>'[4]tieu hoc'!F261</f>
        <v>100</v>
      </c>
      <c r="L38" s="848">
        <f>'[4]tieu hoc'!F307</f>
        <v>100</v>
      </c>
      <c r="M38" s="848">
        <f>'[4]tieu hoc'!F353</f>
        <v>99.8</v>
      </c>
      <c r="N38" s="848">
        <f>'[4]tieu hoc'!F401</f>
        <v>99.8</v>
      </c>
      <c r="O38" s="848">
        <f>'[4]tieu hoc'!F445</f>
        <v>99.8</v>
      </c>
      <c r="P38" s="848">
        <f>'[4]tieu hoc'!F491</f>
        <v>100</v>
      </c>
      <c r="Q38" s="836">
        <f>E38-D38</f>
        <v>0.10000000000000853</v>
      </c>
      <c r="R38" s="836">
        <f>F38-E38</f>
        <v>0.0007373794668126266</v>
      </c>
    </row>
    <row r="39" spans="1:18" s="821" customFormat="1" ht="15.75" customHeight="1">
      <c r="A39" s="837"/>
      <c r="B39" s="843" t="s">
        <v>770</v>
      </c>
      <c r="C39" s="532" t="s">
        <v>21</v>
      </c>
      <c r="D39" s="824">
        <v>99.7</v>
      </c>
      <c r="E39" s="847">
        <v>99.8</v>
      </c>
      <c r="F39" s="848">
        <v>99.8</v>
      </c>
      <c r="G39" s="848">
        <f>'[4]tieu hoc'!F79</f>
        <v>99.8</v>
      </c>
      <c r="H39" s="848">
        <f>'[4]tieu hoc'!F125</f>
        <v>99.8</v>
      </c>
      <c r="I39" s="848">
        <f>'[4]tieu hoc'!F171</f>
        <v>100</v>
      </c>
      <c r="J39" s="848">
        <v>99.9</v>
      </c>
      <c r="K39" s="848">
        <f>'[4]tieu hoc'!F263</f>
        <v>99.9</v>
      </c>
      <c r="L39" s="848">
        <f>'[4]tieu hoc'!F309</f>
        <v>99</v>
      </c>
      <c r="M39" s="848">
        <v>99.6</v>
      </c>
      <c r="N39" s="848">
        <f>'[4]tieu hoc'!F401</f>
        <v>99.8</v>
      </c>
      <c r="O39" s="848">
        <f>'[4]tieu hoc'!F447</f>
        <v>99.5</v>
      </c>
      <c r="P39" s="848">
        <f>'[4]tieu hoc'!F493</f>
        <v>99.9</v>
      </c>
      <c r="Q39" s="836">
        <f aca="true" t="shared" si="14" ref="Q39:R42">E39-D39</f>
        <v>0.09999999999999432</v>
      </c>
      <c r="R39" s="836">
        <f t="shared" si="14"/>
        <v>0</v>
      </c>
    </row>
    <row r="40" spans="1:18" s="821" customFormat="1" ht="15.75" customHeight="1">
      <c r="A40" s="837"/>
      <c r="B40" s="843" t="s">
        <v>771</v>
      </c>
      <c r="C40" s="532" t="s">
        <v>21</v>
      </c>
      <c r="D40" s="847">
        <v>48</v>
      </c>
      <c r="E40" s="847">
        <v>48</v>
      </c>
      <c r="F40" s="848">
        <v>48</v>
      </c>
      <c r="G40" s="848">
        <v>48</v>
      </c>
      <c r="H40" s="848">
        <v>47.5</v>
      </c>
      <c r="I40" s="848">
        <f>'[4]tieu hoc'!F160/'[4]tieu hoc'!F159*100</f>
        <v>47.677516506428816</v>
      </c>
      <c r="J40" s="848">
        <f>'[4]tieu hoc'!F206/'[4]tieu hoc'!F205*100</f>
        <v>46.908127208480565</v>
      </c>
      <c r="K40" s="848">
        <v>48.5</v>
      </c>
      <c r="L40" s="848">
        <f>'[4]tieu hoc'!F298/'[4]tieu hoc'!F297*100</f>
        <v>48.296473401075914</v>
      </c>
      <c r="M40" s="848">
        <f>'[4]tieu hoc'!F344/'[4]tieu hoc'!F343*100</f>
        <v>48.50507207688201</v>
      </c>
      <c r="N40" s="848">
        <f>'[4]tieu hoc'!F390/'[4]tieu hoc'!F389*100</f>
        <v>48.11827956989247</v>
      </c>
      <c r="O40" s="848">
        <f>'[4]tieu hoc'!F436/'[4]tieu hoc'!F435*100</f>
        <v>48.28746177370031</v>
      </c>
      <c r="P40" s="848">
        <f>'[4]tieu hoc'!D482/'[4]tieu hoc'!D481*100</f>
        <v>47.28868752654679</v>
      </c>
      <c r="Q40" s="836">
        <f t="shared" si="14"/>
        <v>0</v>
      </c>
      <c r="R40" s="836">
        <f t="shared" si="14"/>
        <v>0</v>
      </c>
    </row>
    <row r="41" spans="1:18" s="821" customFormat="1" ht="15.75" customHeight="1">
      <c r="A41" s="837"/>
      <c r="B41" s="843" t="s">
        <v>764</v>
      </c>
      <c r="C41" s="532" t="s">
        <v>21</v>
      </c>
      <c r="D41" s="863">
        <v>0.03</v>
      </c>
      <c r="E41" s="863">
        <v>0.03</v>
      </c>
      <c r="F41" s="856">
        <f>19/F35*100</f>
        <v>0.02737752161383285</v>
      </c>
      <c r="G41" s="856">
        <f>'[4]tieu hoc'!F84</f>
        <v>0</v>
      </c>
      <c r="H41" s="856">
        <f>2/H35*100</f>
        <v>0.017543859649122806</v>
      </c>
      <c r="I41" s="856">
        <f>7/I35*100</f>
        <v>0.08484848484848485</v>
      </c>
      <c r="J41" s="856">
        <f>'[4]tieu hoc'!F222</f>
        <v>0</v>
      </c>
      <c r="K41" s="856">
        <f>'[4]tieu hoc'!F268</f>
        <v>0</v>
      </c>
      <c r="L41" s="856">
        <f>'[4]tieu hoc'!F314</f>
        <v>0</v>
      </c>
      <c r="M41" s="856">
        <v>0.07</v>
      </c>
      <c r="N41" s="856">
        <f>'[4]tieu hoc'!F406</f>
        <v>0</v>
      </c>
      <c r="O41" s="856">
        <f>'[4]tieu hoc'!F452</f>
        <v>0.02</v>
      </c>
      <c r="P41" s="856">
        <v>0.1</v>
      </c>
      <c r="Q41" s="836">
        <f t="shared" si="14"/>
        <v>0</v>
      </c>
      <c r="R41" s="836">
        <f t="shared" si="14"/>
        <v>-0.002622478386167148</v>
      </c>
    </row>
    <row r="42" spans="1:18" s="821" customFormat="1" ht="15.75" customHeight="1">
      <c r="A42" s="839"/>
      <c r="B42" s="843" t="s">
        <v>772</v>
      </c>
      <c r="C42" s="532" t="s">
        <v>21</v>
      </c>
      <c r="D42" s="863">
        <v>0.23500000000000001</v>
      </c>
      <c r="E42" s="863">
        <v>0.23500000000000001</v>
      </c>
      <c r="F42" s="856">
        <f>157/F35*100</f>
        <v>0.22622478386167144</v>
      </c>
      <c r="G42" s="848" t="str">
        <f>'[4]tieu hoc'!F82</f>
        <v>0,2</v>
      </c>
      <c r="H42" s="848">
        <f>'[4]tieu hoc'!F128</f>
        <v>0.3</v>
      </c>
      <c r="I42" s="848">
        <v>0.8</v>
      </c>
      <c r="J42" s="848">
        <f>'[4]tieu hoc'!F220</f>
        <v>0</v>
      </c>
      <c r="K42" s="848">
        <f>'[4]tieu hoc'!F266</f>
        <v>0.1</v>
      </c>
      <c r="L42" s="848">
        <f>'[4]tieu hoc'!F312</f>
        <v>0</v>
      </c>
      <c r="M42" s="848">
        <f>'[4]tieu hoc'!F358</f>
        <v>0.2</v>
      </c>
      <c r="N42" s="848">
        <f>'[4]tieu hoc'!F404</f>
        <v>0.2</v>
      </c>
      <c r="O42" s="848">
        <f>'[4]tieu hoc'!F450</f>
        <v>0.1</v>
      </c>
      <c r="P42" s="848">
        <f>'[4]tieu hoc'!F496</f>
        <v>0</v>
      </c>
      <c r="Q42" s="836">
        <f t="shared" si="14"/>
        <v>0</v>
      </c>
      <c r="R42" s="836">
        <f t="shared" si="14"/>
        <v>-0.008775216138328573</v>
      </c>
    </row>
    <row r="43" spans="1:20" s="821" customFormat="1" ht="22.5" customHeight="1">
      <c r="A43" s="1026" t="s">
        <v>773</v>
      </c>
      <c r="B43" s="531" t="s">
        <v>774</v>
      </c>
      <c r="C43" s="532"/>
      <c r="D43" s="864"/>
      <c r="E43" s="864"/>
      <c r="F43" s="864"/>
      <c r="G43" s="864"/>
      <c r="H43" s="864"/>
      <c r="I43" s="864"/>
      <c r="J43" s="864"/>
      <c r="K43" s="864"/>
      <c r="L43" s="864"/>
      <c r="M43" s="864"/>
      <c r="N43" s="864"/>
      <c r="O43" s="864"/>
      <c r="P43" s="864"/>
      <c r="Q43" s="820"/>
      <c r="R43" s="820"/>
      <c r="T43" s="865"/>
    </row>
    <row r="44" spans="1:20" s="821" customFormat="1" ht="15.75" customHeight="1">
      <c r="A44" s="1026"/>
      <c r="B44" s="531" t="s">
        <v>756</v>
      </c>
      <c r="C44" s="532" t="s">
        <v>757</v>
      </c>
      <c r="D44" s="826">
        <v>44279</v>
      </c>
      <c r="E44" s="826">
        <v>45433</v>
      </c>
      <c r="F44" s="866">
        <f>SUM(G44:P44)</f>
        <v>46380</v>
      </c>
      <c r="G44" s="866">
        <v>3750</v>
      </c>
      <c r="H44" s="866">
        <v>7900</v>
      </c>
      <c r="I44" s="866">
        <v>5400</v>
      </c>
      <c r="J44" s="866">
        <v>720</v>
      </c>
      <c r="K44" s="866">
        <v>4310</v>
      </c>
      <c r="L44" s="866">
        <v>4150</v>
      </c>
      <c r="M44" s="866">
        <v>5050</v>
      </c>
      <c r="N44" s="866">
        <v>3800</v>
      </c>
      <c r="O44" s="866">
        <v>6400</v>
      </c>
      <c r="P44" s="866">
        <v>4900</v>
      </c>
      <c r="Q44" s="820">
        <f aca="true" t="shared" si="15" ref="Q44:R46">E44/D44*100</f>
        <v>102.60620158540166</v>
      </c>
      <c r="R44" s="820">
        <f t="shared" si="15"/>
        <v>102.08438799991195</v>
      </c>
      <c r="T44" s="867"/>
    </row>
    <row r="45" spans="1:18" s="821" customFormat="1" ht="15.75" customHeight="1">
      <c r="A45" s="830"/>
      <c r="B45" s="843" t="s">
        <v>768</v>
      </c>
      <c r="C45" s="532" t="s">
        <v>757</v>
      </c>
      <c r="D45" s="832">
        <v>17814</v>
      </c>
      <c r="E45" s="832">
        <v>19830</v>
      </c>
      <c r="F45" s="868">
        <f>SUM(G45:P45)</f>
        <v>20938</v>
      </c>
      <c r="G45" s="832">
        <f>'[4]THCS'!F67</f>
        <v>0</v>
      </c>
      <c r="H45" s="832">
        <f>'[4]THCS'!F111</f>
        <v>1963</v>
      </c>
      <c r="I45" s="832">
        <f>'[4]THCS'!F155</f>
        <v>3410</v>
      </c>
      <c r="J45" s="832">
        <f>'[4]THCS'!F199</f>
        <v>87</v>
      </c>
      <c r="K45" s="832">
        <f>'[4]THCS'!F243</f>
        <v>2288</v>
      </c>
      <c r="L45" s="832">
        <f>'[4]THCS'!F287</f>
        <v>3270</v>
      </c>
      <c r="M45" s="832">
        <f>'[4]THCS'!F331</f>
        <v>3599</v>
      </c>
      <c r="N45" s="832">
        <f>'[4]THCS'!F375</f>
        <v>900</v>
      </c>
      <c r="O45" s="832">
        <f>'[4]THCS'!F419</f>
        <v>2475</v>
      </c>
      <c r="P45" s="832">
        <f>'[4]THCS'!F463</f>
        <v>2946</v>
      </c>
      <c r="Q45" s="836">
        <f t="shared" si="15"/>
        <v>111.31694173122264</v>
      </c>
      <c r="R45" s="836">
        <f t="shared" si="15"/>
        <v>105.58749369641957</v>
      </c>
    </row>
    <row r="46" spans="1:18" s="821" customFormat="1" ht="15.75" customHeight="1">
      <c r="A46" s="1026"/>
      <c r="B46" s="531" t="s">
        <v>760</v>
      </c>
      <c r="C46" s="532" t="s">
        <v>739</v>
      </c>
      <c r="D46" s="826">
        <v>1400</v>
      </c>
      <c r="E46" s="826">
        <v>1370</v>
      </c>
      <c r="F46" s="866">
        <f>SUM(G46:P46)</f>
        <v>1406</v>
      </c>
      <c r="G46" s="826">
        <v>112</v>
      </c>
      <c r="H46" s="826">
        <v>245</v>
      </c>
      <c r="I46" s="826">
        <f>'[4]THCS'!F158</f>
        <v>158</v>
      </c>
      <c r="J46" s="826">
        <f>'[4]THCS'!F202</f>
        <v>24</v>
      </c>
      <c r="K46" s="826">
        <v>131</v>
      </c>
      <c r="L46" s="826">
        <f>'[4]THCS'!F290</f>
        <v>136</v>
      </c>
      <c r="M46" s="826">
        <v>152</v>
      </c>
      <c r="N46" s="826">
        <v>106</v>
      </c>
      <c r="O46" s="826">
        <v>209</v>
      </c>
      <c r="P46" s="826">
        <f>'[4]THCS'!F466</f>
        <v>133</v>
      </c>
      <c r="Q46" s="820">
        <f t="shared" si="15"/>
        <v>97.85714285714285</v>
      </c>
      <c r="R46" s="820">
        <f t="shared" si="15"/>
        <v>102.62773722627739</v>
      </c>
    </row>
    <row r="47" spans="1:18" s="821" customFormat="1" ht="15.75" customHeight="1">
      <c r="A47" s="830"/>
      <c r="B47" s="843" t="s">
        <v>775</v>
      </c>
      <c r="C47" s="532" t="s">
        <v>21</v>
      </c>
      <c r="D47" s="824">
        <v>95.7</v>
      </c>
      <c r="E47" s="847">
        <v>96.6</v>
      </c>
      <c r="F47" s="869">
        <v>96.6</v>
      </c>
      <c r="G47" s="846">
        <v>99.5</v>
      </c>
      <c r="H47" s="846">
        <v>97.5</v>
      </c>
      <c r="I47" s="846">
        <f>'[4]THCS'!F163</f>
        <v>96.7</v>
      </c>
      <c r="J47" s="846">
        <f>'[4]THCS'!F207</f>
        <v>99</v>
      </c>
      <c r="K47" s="846">
        <f>'[4]THCS'!F251</f>
        <v>96.6</v>
      </c>
      <c r="L47" s="846">
        <v>98.56</v>
      </c>
      <c r="M47" s="846">
        <f>'[4]THCS'!F339</f>
        <v>96.2</v>
      </c>
      <c r="N47" s="846">
        <v>97</v>
      </c>
      <c r="O47" s="846">
        <f>'[4]THCS'!F427</f>
        <v>98</v>
      </c>
      <c r="P47" s="846">
        <v>95</v>
      </c>
      <c r="Q47" s="836">
        <f>E47-D47</f>
        <v>0.8999999999999915</v>
      </c>
      <c r="R47" s="836">
        <f>F47-E47</f>
        <v>0</v>
      </c>
    </row>
    <row r="48" spans="1:18" s="821" customFormat="1" ht="15.75" customHeight="1">
      <c r="A48" s="837"/>
      <c r="B48" s="843" t="s">
        <v>776</v>
      </c>
      <c r="C48" s="532" t="s">
        <v>21</v>
      </c>
      <c r="D48" s="824">
        <v>94.7</v>
      </c>
      <c r="E48" s="824">
        <v>95.3</v>
      </c>
      <c r="F48" s="869">
        <v>95.4</v>
      </c>
      <c r="G48" s="846">
        <f>'[4]THCS'!F77</f>
        <v>99.5</v>
      </c>
      <c r="H48" s="846">
        <v>97.4</v>
      </c>
      <c r="I48" s="846">
        <f>'[4]THCS'!F165</f>
        <v>93.9</v>
      </c>
      <c r="J48" s="846">
        <f>'[4]THCS'!F209</f>
        <v>98</v>
      </c>
      <c r="K48" s="846">
        <f>'[4]THCS'!F253</f>
        <v>96.6</v>
      </c>
      <c r="L48" s="846">
        <v>97.4</v>
      </c>
      <c r="M48" s="846">
        <f>'[4]THCS'!F341</f>
        <v>96</v>
      </c>
      <c r="N48" s="846">
        <v>96</v>
      </c>
      <c r="O48" s="846">
        <f>'[4]THCS'!F429</f>
        <v>95</v>
      </c>
      <c r="P48" s="846">
        <f>'[4]THCS'!F473</f>
        <v>91.2</v>
      </c>
      <c r="Q48" s="836">
        <f aca="true" t="shared" si="16" ref="Q48:R51">E48-D48</f>
        <v>0.5999999999999943</v>
      </c>
      <c r="R48" s="836">
        <f t="shared" si="16"/>
        <v>0.10000000000000853</v>
      </c>
    </row>
    <row r="49" spans="1:18" s="821" customFormat="1" ht="15.75" customHeight="1">
      <c r="A49" s="837"/>
      <c r="B49" s="843" t="s">
        <v>771</v>
      </c>
      <c r="C49" s="532" t="s">
        <v>21</v>
      </c>
      <c r="D49" s="847">
        <v>45.5</v>
      </c>
      <c r="E49" s="847">
        <v>46.1</v>
      </c>
      <c r="F49" s="846">
        <v>46.1</v>
      </c>
      <c r="G49" s="846">
        <v>47.2</v>
      </c>
      <c r="H49" s="846">
        <v>46.5</v>
      </c>
      <c r="I49" s="846">
        <f>'[4]THCS'!F154/'[4]THCS'!F153*100</f>
        <v>43.71741865899694</v>
      </c>
      <c r="J49" s="846">
        <v>48.1</v>
      </c>
      <c r="K49" s="846">
        <f>'[4]THCS'!F242/'[4]THCS'!F241*100</f>
        <v>45.571658615136876</v>
      </c>
      <c r="L49" s="846">
        <v>44.9</v>
      </c>
      <c r="M49" s="846">
        <v>46</v>
      </c>
      <c r="N49" s="846">
        <v>48</v>
      </c>
      <c r="O49" s="846">
        <v>47</v>
      </c>
      <c r="P49" s="846">
        <v>45</v>
      </c>
      <c r="Q49" s="836">
        <f t="shared" si="16"/>
        <v>0.6000000000000014</v>
      </c>
      <c r="R49" s="836">
        <f t="shared" si="16"/>
        <v>0</v>
      </c>
    </row>
    <row r="50" spans="1:18" s="821" customFormat="1" ht="15.75" customHeight="1">
      <c r="A50" s="837"/>
      <c r="B50" s="843" t="s">
        <v>764</v>
      </c>
      <c r="C50" s="532" t="s">
        <v>21</v>
      </c>
      <c r="D50" s="847">
        <f>223/D44*100</f>
        <v>0.5036247431062129</v>
      </c>
      <c r="E50" s="847">
        <v>0.47</v>
      </c>
      <c r="F50" s="846">
        <v>0.4</v>
      </c>
      <c r="G50" s="846">
        <f>'[4]THCS'!F82</f>
        <v>0</v>
      </c>
      <c r="H50" s="846">
        <f>'[4]THCS'!F126</f>
        <v>0.16220600162206003</v>
      </c>
      <c r="I50" s="846">
        <f>'[4]THCS'!F170</f>
        <v>0.8</v>
      </c>
      <c r="J50" s="846">
        <f>'[4]THCS'!F214</f>
        <v>0.1</v>
      </c>
      <c r="K50" s="846">
        <f>'[4]THCS'!F258</f>
        <v>0.7131354957441914</v>
      </c>
      <c r="L50" s="846">
        <v>0.3</v>
      </c>
      <c r="M50" s="846">
        <f>'[4]THCS'!F346</f>
        <v>0.3</v>
      </c>
      <c r="N50" s="846">
        <f>'[4]THCS'!F390</f>
        <v>0.4155844155844156</v>
      </c>
      <c r="O50" s="846">
        <f>'[4]THCS'!F434</f>
        <v>0.5</v>
      </c>
      <c r="P50" s="846">
        <v>0.3</v>
      </c>
      <c r="Q50" s="836">
        <f t="shared" si="16"/>
        <v>-0.033624743106212884</v>
      </c>
      <c r="R50" s="836">
        <f t="shared" si="16"/>
        <v>-0.06999999999999995</v>
      </c>
    </row>
    <row r="51" spans="1:18" s="821" customFormat="1" ht="15.75" customHeight="1">
      <c r="A51" s="839"/>
      <c r="B51" s="843" t="s">
        <v>772</v>
      </c>
      <c r="C51" s="532" t="s">
        <v>21</v>
      </c>
      <c r="D51" s="847">
        <v>0.526363636363636</v>
      </c>
      <c r="E51" s="847">
        <v>0.526363636363636</v>
      </c>
      <c r="F51" s="846">
        <f>242/F44*100</f>
        <v>0.5217766278568349</v>
      </c>
      <c r="G51" s="846">
        <f>'[4]THCS'!F80</f>
        <v>0.6</v>
      </c>
      <c r="H51" s="846">
        <v>0.4</v>
      </c>
      <c r="I51" s="846">
        <f>'[4]THCS'!F168</f>
        <v>0.4</v>
      </c>
      <c r="J51" s="846">
        <f>'[4]THCS'!F212</f>
        <v>0.1</v>
      </c>
      <c r="K51" s="846">
        <f>'[4]THCS'!F256</f>
        <v>0.5981136415919025</v>
      </c>
      <c r="L51" s="846">
        <v>0.5</v>
      </c>
      <c r="M51" s="846">
        <f>'[4]THCS'!F344</f>
        <v>0.6</v>
      </c>
      <c r="N51" s="846">
        <v>0.6</v>
      </c>
      <c r="O51" s="846">
        <v>0.3</v>
      </c>
      <c r="P51" s="846">
        <v>0.4</v>
      </c>
      <c r="Q51" s="836">
        <f t="shared" si="16"/>
        <v>0</v>
      </c>
      <c r="R51" s="836">
        <f t="shared" si="16"/>
        <v>-0.00458700850680116</v>
      </c>
    </row>
    <row r="52" spans="1:18" s="821" customFormat="1" ht="15.75" customHeight="1">
      <c r="A52" s="1026" t="s">
        <v>777</v>
      </c>
      <c r="B52" s="531" t="s">
        <v>778</v>
      </c>
      <c r="C52" s="532"/>
      <c r="D52" s="853"/>
      <c r="E52" s="853"/>
      <c r="F52" s="826"/>
      <c r="G52" s="826"/>
      <c r="H52" s="826"/>
      <c r="I52" s="826"/>
      <c r="J52" s="826"/>
      <c r="K52" s="826"/>
      <c r="L52" s="826"/>
      <c r="M52" s="826"/>
      <c r="N52" s="826"/>
      <c r="O52" s="826"/>
      <c r="P52" s="826"/>
      <c r="Q52" s="820"/>
      <c r="R52" s="820"/>
    </row>
    <row r="53" spans="1:18" s="821" customFormat="1" ht="15.75" customHeight="1">
      <c r="A53" s="870"/>
      <c r="B53" s="823" t="s">
        <v>779</v>
      </c>
      <c r="C53" s="532" t="s">
        <v>757</v>
      </c>
      <c r="D53" s="826">
        <v>16394</v>
      </c>
      <c r="E53" s="826">
        <v>17230</v>
      </c>
      <c r="F53" s="826">
        <f>SUM(G53:P53)</f>
        <v>18000</v>
      </c>
      <c r="G53" s="826">
        <v>3820</v>
      </c>
      <c r="H53" s="826">
        <v>3400</v>
      </c>
      <c r="I53" s="826">
        <v>1550</v>
      </c>
      <c r="J53" s="826">
        <v>520</v>
      </c>
      <c r="K53" s="826">
        <f>'[4]THPT2'!J19+'[4]THPT2'!J35</f>
        <v>1160</v>
      </c>
      <c r="L53" s="826">
        <v>1300</v>
      </c>
      <c r="M53" s="826">
        <v>1450</v>
      </c>
      <c r="N53" s="826">
        <v>1500</v>
      </c>
      <c r="O53" s="826">
        <v>2000</v>
      </c>
      <c r="P53" s="826">
        <v>1300</v>
      </c>
      <c r="Q53" s="820">
        <f aca="true" t="shared" si="17" ref="Q53:R56">E53/D53*100</f>
        <v>105.09942661949493</v>
      </c>
      <c r="R53" s="820">
        <f t="shared" si="17"/>
        <v>104.4689495066744</v>
      </c>
    </row>
    <row r="54" spans="1:18" s="821" customFormat="1" ht="15.75" customHeight="1">
      <c r="A54" s="830"/>
      <c r="B54" s="871" t="s">
        <v>780</v>
      </c>
      <c r="C54" s="532"/>
      <c r="D54" s="872">
        <v>2575</v>
      </c>
      <c r="E54" s="872">
        <v>2975</v>
      </c>
      <c r="F54" s="832">
        <f>SUM(G54:P54)</f>
        <v>3260</v>
      </c>
      <c r="G54" s="860">
        <f>'[4]THPT'!S26</f>
        <v>600</v>
      </c>
      <c r="H54" s="860">
        <f>'[4]THPT'!S27</f>
        <v>350</v>
      </c>
      <c r="I54" s="860">
        <f>'[4]THPT'!S28</f>
        <v>350</v>
      </c>
      <c r="J54" s="860">
        <v>0</v>
      </c>
      <c r="K54" s="860">
        <f>'[4]THPT'!S29</f>
        <v>350</v>
      </c>
      <c r="L54" s="860">
        <f>'[4]THPT'!S30</f>
        <v>350</v>
      </c>
      <c r="M54" s="860">
        <f>'[4]THPT'!F1132</f>
        <v>210</v>
      </c>
      <c r="N54" s="860">
        <f>'[4]THPT'!F1024</f>
        <v>350</v>
      </c>
      <c r="O54" s="860">
        <f>'[4]THPT'!F952</f>
        <v>350</v>
      </c>
      <c r="P54" s="860">
        <f>'[4]THPT'!F988</f>
        <v>350</v>
      </c>
      <c r="Q54" s="836">
        <f t="shared" si="17"/>
        <v>115.53398058252426</v>
      </c>
      <c r="R54" s="836">
        <f t="shared" si="17"/>
        <v>109.57983193277312</v>
      </c>
    </row>
    <row r="55" spans="1:18" s="821" customFormat="1" ht="15.75" customHeight="1">
      <c r="A55" s="839"/>
      <c r="B55" s="873" t="s">
        <v>781</v>
      </c>
      <c r="C55" s="532" t="s">
        <v>757</v>
      </c>
      <c r="D55" s="832">
        <v>5340</v>
      </c>
      <c r="E55" s="832">
        <v>5609</v>
      </c>
      <c r="F55" s="832">
        <f>SUM(G55:P55)</f>
        <v>6504</v>
      </c>
      <c r="G55" s="832">
        <f>'[4]THPT'!U6+'[4]THPT'!U7+'[4]THPT'!U34+'[4]THPT'!U26+'[4]THPT'!U8</f>
        <v>440</v>
      </c>
      <c r="H55" s="832">
        <f>'[4]THPT'!Z9</f>
        <v>912</v>
      </c>
      <c r="I55" s="832">
        <f>'[4]THPT'!Z14</f>
        <v>1091</v>
      </c>
      <c r="J55" s="832">
        <f>'[4]THPT'!Z16</f>
        <v>235</v>
      </c>
      <c r="K55" s="832">
        <f>'[4]THPT'!Z17</f>
        <v>600</v>
      </c>
      <c r="L55" s="832">
        <f>'[4]THPT'!Z18</f>
        <v>825</v>
      </c>
      <c r="M55" s="832">
        <f>'[4]THPT'!Z19</f>
        <v>540</v>
      </c>
      <c r="N55" s="832">
        <f>'[4]THPT'!Z20</f>
        <v>660</v>
      </c>
      <c r="O55" s="832">
        <f>'[4]THPT'!Z22</f>
        <v>565</v>
      </c>
      <c r="P55" s="832">
        <f>'[4]THPT'!Z24</f>
        <v>636</v>
      </c>
      <c r="Q55" s="836">
        <f t="shared" si="17"/>
        <v>105.0374531835206</v>
      </c>
      <c r="R55" s="836">
        <f t="shared" si="17"/>
        <v>115.95649848457836</v>
      </c>
    </row>
    <row r="56" spans="1:18" s="875" customFormat="1" ht="15.75" customHeight="1">
      <c r="A56" s="840"/>
      <c r="B56" s="823" t="s">
        <v>782</v>
      </c>
      <c r="C56" s="532" t="s">
        <v>739</v>
      </c>
      <c r="D56" s="874">
        <v>507</v>
      </c>
      <c r="E56" s="1013">
        <v>514</v>
      </c>
      <c r="F56" s="826">
        <f>SUM(G56:P56)</f>
        <v>518</v>
      </c>
      <c r="G56" s="864">
        <v>108</v>
      </c>
      <c r="H56" s="864">
        <v>99</v>
      </c>
      <c r="I56" s="864">
        <v>43</v>
      </c>
      <c r="J56" s="864">
        <v>16</v>
      </c>
      <c r="K56" s="864">
        <v>33</v>
      </c>
      <c r="L56" s="864">
        <v>35</v>
      </c>
      <c r="M56" s="864">
        <f>'[4]THPT'!Y19</f>
        <v>41</v>
      </c>
      <c r="N56" s="864">
        <v>46</v>
      </c>
      <c r="O56" s="864">
        <v>59</v>
      </c>
      <c r="P56" s="864">
        <f>'[4]THPT'!Y24</f>
        <v>38</v>
      </c>
      <c r="Q56" s="820">
        <f t="shared" si="17"/>
        <v>101.38067061143985</v>
      </c>
      <c r="R56" s="820">
        <f t="shared" si="17"/>
        <v>100.77821011673151</v>
      </c>
    </row>
    <row r="57" spans="1:18" s="821" customFormat="1" ht="15.75" customHeight="1">
      <c r="A57" s="830"/>
      <c r="B57" s="843" t="s">
        <v>783</v>
      </c>
      <c r="C57" s="532" t="s">
        <v>21</v>
      </c>
      <c r="D57" s="824">
        <v>60.4</v>
      </c>
      <c r="E57" s="847">
        <v>60.7</v>
      </c>
      <c r="F57" s="846">
        <v>60.9</v>
      </c>
      <c r="G57" s="846">
        <v>95</v>
      </c>
      <c r="H57" s="846">
        <v>60.2</v>
      </c>
      <c r="I57" s="846">
        <v>47.7</v>
      </c>
      <c r="J57" s="846">
        <v>70.7</v>
      </c>
      <c r="K57" s="846">
        <v>45.1</v>
      </c>
      <c r="L57" s="846">
        <v>48.5</v>
      </c>
      <c r="M57" s="846">
        <v>50.5</v>
      </c>
      <c r="N57" s="846">
        <v>52</v>
      </c>
      <c r="O57" s="846">
        <v>53</v>
      </c>
      <c r="P57" s="846">
        <v>43</v>
      </c>
      <c r="Q57" s="836">
        <f>E57-D57</f>
        <v>0.30000000000000426</v>
      </c>
      <c r="R57" s="836">
        <f>F57-E57</f>
        <v>0.19999999999999574</v>
      </c>
    </row>
    <row r="58" spans="1:18" s="821" customFormat="1" ht="29.25" customHeight="1">
      <c r="A58" s="837"/>
      <c r="B58" s="843" t="s">
        <v>784</v>
      </c>
      <c r="C58" s="532" t="s">
        <v>21</v>
      </c>
      <c r="D58" s="824">
        <v>57.7</v>
      </c>
      <c r="E58" s="847">
        <v>63</v>
      </c>
      <c r="F58" s="846">
        <v>63.2</v>
      </c>
      <c r="G58" s="846">
        <v>95.3</v>
      </c>
      <c r="H58" s="846">
        <v>68.5</v>
      </c>
      <c r="I58" s="846">
        <v>55.8</v>
      </c>
      <c r="J58" s="846">
        <v>74.6</v>
      </c>
      <c r="K58" s="846">
        <v>52.2</v>
      </c>
      <c r="L58" s="846">
        <v>53</v>
      </c>
      <c r="M58" s="846">
        <v>55</v>
      </c>
      <c r="N58" s="846">
        <v>57.5</v>
      </c>
      <c r="O58" s="846">
        <v>59</v>
      </c>
      <c r="P58" s="846">
        <v>49</v>
      </c>
      <c r="Q58" s="836">
        <f aca="true" t="shared" si="18" ref="Q58:R61">E58-D58</f>
        <v>5.299999999999997</v>
      </c>
      <c r="R58" s="836">
        <f t="shared" si="18"/>
        <v>0.20000000000000284</v>
      </c>
    </row>
    <row r="59" spans="1:18" s="821" customFormat="1" ht="15.75" customHeight="1">
      <c r="A59" s="837"/>
      <c r="B59" s="843" t="s">
        <v>771</v>
      </c>
      <c r="C59" s="532" t="s">
        <v>21</v>
      </c>
      <c r="D59" s="847">
        <v>40.4</v>
      </c>
      <c r="E59" s="847">
        <v>40.7</v>
      </c>
      <c r="F59" s="846">
        <v>43.4</v>
      </c>
      <c r="G59" s="846">
        <v>46</v>
      </c>
      <c r="H59" s="846">
        <v>44.5</v>
      </c>
      <c r="I59" s="846">
        <v>41</v>
      </c>
      <c r="J59" s="846">
        <v>44</v>
      </c>
      <c r="K59" s="846">
        <v>43</v>
      </c>
      <c r="L59" s="846">
        <v>42</v>
      </c>
      <c r="M59" s="846">
        <v>41</v>
      </c>
      <c r="N59" s="846">
        <v>43</v>
      </c>
      <c r="O59" s="846">
        <v>44</v>
      </c>
      <c r="P59" s="846">
        <v>39</v>
      </c>
      <c r="Q59" s="836">
        <f t="shared" si="18"/>
        <v>0.30000000000000426</v>
      </c>
      <c r="R59" s="836">
        <f t="shared" si="18"/>
        <v>2.6999999999999957</v>
      </c>
    </row>
    <row r="60" spans="1:18" s="821" customFormat="1" ht="15.75" customHeight="1">
      <c r="A60" s="837"/>
      <c r="B60" s="843" t="s">
        <v>764</v>
      </c>
      <c r="C60" s="532" t="s">
        <v>21</v>
      </c>
      <c r="D60" s="847">
        <f>409/D53*100</f>
        <v>2.4948151762840065</v>
      </c>
      <c r="E60" s="847">
        <v>2.5</v>
      </c>
      <c r="F60" s="846">
        <f>409/F53*100</f>
        <v>2.272222222222222</v>
      </c>
      <c r="G60" s="846">
        <v>0.4404145077720207</v>
      </c>
      <c r="H60" s="846">
        <v>1.9652520649387637</v>
      </c>
      <c r="I60" s="846">
        <v>4.175878162613608</v>
      </c>
      <c r="J60" s="846">
        <v>4.665629860031104</v>
      </c>
      <c r="K60" s="846">
        <v>0.5163511187607573</v>
      </c>
      <c r="L60" s="846">
        <v>0.8283132530120483</v>
      </c>
      <c r="M60" s="846">
        <v>3.446075303126994</v>
      </c>
      <c r="N60" s="846">
        <v>2.2370012091898426</v>
      </c>
      <c r="O60" s="846">
        <v>3.864734299516908</v>
      </c>
      <c r="P60" s="846">
        <v>2.1517024418112882</v>
      </c>
      <c r="Q60" s="836">
        <f t="shared" si="18"/>
        <v>0.005184823715993492</v>
      </c>
      <c r="R60" s="836">
        <f t="shared" si="18"/>
        <v>-0.22777777777777786</v>
      </c>
    </row>
    <row r="61" spans="1:18" s="821" customFormat="1" ht="15.75" customHeight="1">
      <c r="A61" s="837"/>
      <c r="B61" s="843" t="s">
        <v>765</v>
      </c>
      <c r="C61" s="532" t="s">
        <v>21</v>
      </c>
      <c r="D61" s="847">
        <v>1.7342648845686517</v>
      </c>
      <c r="E61" s="847">
        <v>1.7342648845686517</v>
      </c>
      <c r="F61" s="846">
        <f>311/F53*100</f>
        <v>1.7277777777777776</v>
      </c>
      <c r="G61" s="846">
        <v>1.4</v>
      </c>
      <c r="H61" s="846">
        <v>1.6</v>
      </c>
      <c r="I61" s="846">
        <v>2</v>
      </c>
      <c r="J61" s="846">
        <v>1.5</v>
      </c>
      <c r="K61" s="846">
        <v>1.7</v>
      </c>
      <c r="L61" s="846">
        <v>1.8</v>
      </c>
      <c r="M61" s="846">
        <v>2</v>
      </c>
      <c r="N61" s="846">
        <v>1.6</v>
      </c>
      <c r="O61" s="846">
        <v>1.5</v>
      </c>
      <c r="P61" s="846">
        <v>1.7</v>
      </c>
      <c r="Q61" s="836">
        <f t="shared" si="18"/>
        <v>0</v>
      </c>
      <c r="R61" s="836">
        <f t="shared" si="18"/>
        <v>-0.006487106790874053</v>
      </c>
    </row>
    <row r="62" spans="1:18" s="821" customFormat="1" ht="15.75" customHeight="1">
      <c r="A62" s="1026">
        <v>3</v>
      </c>
      <c r="B62" s="531" t="s">
        <v>785</v>
      </c>
      <c r="C62" s="532" t="s">
        <v>786</v>
      </c>
      <c r="D62" s="859">
        <v>3940</v>
      </c>
      <c r="E62" s="859">
        <v>2951</v>
      </c>
      <c r="F62" s="859">
        <f>SUM(F63:F65)</f>
        <v>2695</v>
      </c>
      <c r="G62" s="859">
        <f>SUM(G63:G65)</f>
        <v>190</v>
      </c>
      <c r="H62" s="859">
        <f aca="true" t="shared" si="19" ref="H62:P62">SUM(H63:H65)</f>
        <v>400</v>
      </c>
      <c r="I62" s="859">
        <f t="shared" si="19"/>
        <v>290</v>
      </c>
      <c r="J62" s="859">
        <f t="shared" si="19"/>
        <v>100</v>
      </c>
      <c r="K62" s="859">
        <f t="shared" si="19"/>
        <v>331</v>
      </c>
      <c r="L62" s="859">
        <f t="shared" si="19"/>
        <v>285</v>
      </c>
      <c r="M62" s="859">
        <f t="shared" si="19"/>
        <v>200</v>
      </c>
      <c r="N62" s="859">
        <f t="shared" si="19"/>
        <v>179</v>
      </c>
      <c r="O62" s="859">
        <f t="shared" si="19"/>
        <v>420</v>
      </c>
      <c r="P62" s="859">
        <f t="shared" si="19"/>
        <v>300</v>
      </c>
      <c r="Q62" s="820">
        <f aca="true" t="shared" si="20" ref="Q62:Q68">E62/D62*100</f>
        <v>74.8984771573604</v>
      </c>
      <c r="R62" s="820"/>
    </row>
    <row r="63" spans="1:18" s="821" customFormat="1" ht="15.75" customHeight="1">
      <c r="A63" s="830"/>
      <c r="B63" s="841" t="s">
        <v>787</v>
      </c>
      <c r="C63" s="532" t="s">
        <v>786</v>
      </c>
      <c r="D63" s="872">
        <v>2890</v>
      </c>
      <c r="E63" s="872">
        <v>2319</v>
      </c>
      <c r="F63" s="862">
        <f>SUM(G63:P63)</f>
        <v>1500</v>
      </c>
      <c r="G63" s="862">
        <v>0</v>
      </c>
      <c r="H63" s="862">
        <v>100</v>
      </c>
      <c r="I63" s="862">
        <v>200</v>
      </c>
      <c r="J63" s="862">
        <v>100</v>
      </c>
      <c r="K63" s="862">
        <v>200</v>
      </c>
      <c r="L63" s="862">
        <v>200</v>
      </c>
      <c r="M63" s="862">
        <v>200</v>
      </c>
      <c r="N63" s="862">
        <v>100</v>
      </c>
      <c r="O63" s="862">
        <v>200</v>
      </c>
      <c r="P63" s="862">
        <v>200</v>
      </c>
      <c r="Q63" s="836">
        <f t="shared" si="20"/>
        <v>80.24221453287197</v>
      </c>
      <c r="R63" s="836"/>
    </row>
    <row r="64" spans="1:18" s="821" customFormat="1" ht="15.75" customHeight="1">
      <c r="A64" s="837"/>
      <c r="B64" s="841" t="s">
        <v>788</v>
      </c>
      <c r="C64" s="532" t="s">
        <v>786</v>
      </c>
      <c r="D64" s="872">
        <v>194</v>
      </c>
      <c r="E64" s="872">
        <v>102</v>
      </c>
      <c r="F64" s="862">
        <f>SUM(G64:P64)</f>
        <v>150</v>
      </c>
      <c r="G64" s="862"/>
      <c r="H64" s="862">
        <v>150</v>
      </c>
      <c r="I64" s="862"/>
      <c r="J64" s="862"/>
      <c r="K64" s="862"/>
      <c r="L64" s="862"/>
      <c r="M64" s="862"/>
      <c r="N64" s="862"/>
      <c r="O64" s="862"/>
      <c r="P64" s="862"/>
      <c r="Q64" s="836">
        <f t="shared" si="20"/>
        <v>52.57731958762887</v>
      </c>
      <c r="R64" s="836">
        <f>F64/E64*100</f>
        <v>147.05882352941177</v>
      </c>
    </row>
    <row r="65" spans="1:18" s="821" customFormat="1" ht="15.75" customHeight="1">
      <c r="A65" s="839"/>
      <c r="B65" s="843" t="s">
        <v>789</v>
      </c>
      <c r="C65" s="532" t="s">
        <v>786</v>
      </c>
      <c r="D65" s="872">
        <v>856</v>
      </c>
      <c r="E65" s="872">
        <v>530</v>
      </c>
      <c r="F65" s="862">
        <f>SUM(G65:P65)</f>
        <v>1045</v>
      </c>
      <c r="G65" s="862">
        <f>'[4]THPT2'!J42</f>
        <v>190</v>
      </c>
      <c r="H65" s="862">
        <f>'[4]THPT2'!J43</f>
        <v>150</v>
      </c>
      <c r="I65" s="862">
        <f>'[4]THPT2'!J44</f>
        <v>90</v>
      </c>
      <c r="J65" s="862">
        <v>0</v>
      </c>
      <c r="K65" s="862">
        <f>'[4]THPT2'!J45</f>
        <v>131</v>
      </c>
      <c r="L65" s="862">
        <f>'[4]THPT2'!J46</f>
        <v>85</v>
      </c>
      <c r="M65" s="862">
        <f>0</f>
        <v>0</v>
      </c>
      <c r="N65" s="862">
        <f>'[4]THPT2'!J47</f>
        <v>79</v>
      </c>
      <c r="O65" s="862">
        <f>'[4]THPT2'!J48</f>
        <v>220</v>
      </c>
      <c r="P65" s="862">
        <f>'[4]THPT2'!J49</f>
        <v>100</v>
      </c>
      <c r="Q65" s="836">
        <f t="shared" si="20"/>
        <v>61.915887850467286</v>
      </c>
      <c r="R65" s="836">
        <f>F65/E65*100</f>
        <v>197.16981132075472</v>
      </c>
    </row>
    <row r="66" spans="1:18" s="821" customFormat="1" ht="15.75" customHeight="1">
      <c r="A66" s="1026" t="s">
        <v>122</v>
      </c>
      <c r="B66" s="823" t="s">
        <v>790</v>
      </c>
      <c r="C66" s="532"/>
      <c r="D66" s="826">
        <f>SUM(D67:D68)</f>
        <v>15083</v>
      </c>
      <c r="E66" s="826">
        <f>SUM(E67:E68)</f>
        <v>15480</v>
      </c>
      <c r="F66" s="826">
        <f>SUM(F67:F68)</f>
        <v>17200</v>
      </c>
      <c r="G66" s="826">
        <f aca="true" t="shared" si="21" ref="G66:P66">SUM(G67:G68)</f>
        <v>2210</v>
      </c>
      <c r="H66" s="826">
        <f t="shared" si="21"/>
        <v>3020</v>
      </c>
      <c r="I66" s="826">
        <f t="shared" si="21"/>
        <v>1840</v>
      </c>
      <c r="J66" s="826">
        <f t="shared" si="21"/>
        <v>330</v>
      </c>
      <c r="K66" s="826">
        <f t="shared" si="21"/>
        <v>1370</v>
      </c>
      <c r="L66" s="826">
        <f t="shared" si="21"/>
        <v>1370</v>
      </c>
      <c r="M66" s="826">
        <f t="shared" si="21"/>
        <v>1720</v>
      </c>
      <c r="N66" s="826">
        <f t="shared" si="21"/>
        <v>1360</v>
      </c>
      <c r="O66" s="826">
        <f t="shared" si="21"/>
        <v>2530</v>
      </c>
      <c r="P66" s="826">
        <f t="shared" si="21"/>
        <v>1450</v>
      </c>
      <c r="Q66" s="820">
        <f t="shared" si="20"/>
        <v>102.63210236690314</v>
      </c>
      <c r="R66" s="820">
        <f>F66/E66*100</f>
        <v>111.11111111111111</v>
      </c>
    </row>
    <row r="67" spans="1:18" s="821" customFormat="1" ht="15.75" customHeight="1">
      <c r="A67" s="830"/>
      <c r="B67" s="843" t="s">
        <v>791</v>
      </c>
      <c r="C67" s="532" t="s">
        <v>757</v>
      </c>
      <c r="D67" s="832">
        <v>9777</v>
      </c>
      <c r="E67" s="832">
        <v>10039</v>
      </c>
      <c r="F67" s="832">
        <f>SUM(G67:P67)</f>
        <v>11070</v>
      </c>
      <c r="G67" s="832">
        <v>860</v>
      </c>
      <c r="H67" s="832">
        <v>1900</v>
      </c>
      <c r="I67" s="832">
        <v>1300</v>
      </c>
      <c r="J67" s="832">
        <v>150</v>
      </c>
      <c r="K67" s="832">
        <v>1000</v>
      </c>
      <c r="L67" s="832">
        <v>960</v>
      </c>
      <c r="M67" s="832">
        <v>1200</v>
      </c>
      <c r="N67" s="832">
        <v>850</v>
      </c>
      <c r="O67" s="832">
        <v>1800</v>
      </c>
      <c r="P67" s="832">
        <v>1050</v>
      </c>
      <c r="Q67" s="836">
        <f t="shared" si="20"/>
        <v>102.67975861716272</v>
      </c>
      <c r="R67" s="836">
        <f>F67/E67*100</f>
        <v>110.269947205897</v>
      </c>
    </row>
    <row r="68" spans="1:18" s="821" customFormat="1" ht="15.75" customHeight="1">
      <c r="A68" s="839"/>
      <c r="B68" s="843" t="s">
        <v>792</v>
      </c>
      <c r="C68" s="532" t="s">
        <v>757</v>
      </c>
      <c r="D68" s="832">
        <v>5306</v>
      </c>
      <c r="E68" s="832">
        <v>5441</v>
      </c>
      <c r="F68" s="832">
        <f>SUM(G68:P68)</f>
        <v>6130</v>
      </c>
      <c r="G68" s="832">
        <v>1350</v>
      </c>
      <c r="H68" s="832">
        <v>1120</v>
      </c>
      <c r="I68" s="832">
        <v>540</v>
      </c>
      <c r="J68" s="832">
        <v>180</v>
      </c>
      <c r="K68" s="832">
        <v>370</v>
      </c>
      <c r="L68" s="832">
        <v>410</v>
      </c>
      <c r="M68" s="832">
        <v>520</v>
      </c>
      <c r="N68" s="832">
        <v>510</v>
      </c>
      <c r="O68" s="832">
        <v>730</v>
      </c>
      <c r="P68" s="832">
        <v>400</v>
      </c>
      <c r="Q68" s="836">
        <f t="shared" si="20"/>
        <v>102.54428948360345</v>
      </c>
      <c r="R68" s="836">
        <f>F68/E68*100</f>
        <v>112.66311339827237</v>
      </c>
    </row>
    <row r="69" spans="1:18" s="875" customFormat="1" ht="15.75" customHeight="1">
      <c r="A69" s="1026" t="s">
        <v>132</v>
      </c>
      <c r="B69" s="823" t="s">
        <v>793</v>
      </c>
      <c r="C69" s="1025"/>
      <c r="D69" s="876"/>
      <c r="E69" s="826"/>
      <c r="F69" s="826"/>
      <c r="G69" s="877"/>
      <c r="H69" s="877"/>
      <c r="I69" s="877"/>
      <c r="J69" s="877"/>
      <c r="K69" s="877"/>
      <c r="L69" s="877"/>
      <c r="M69" s="877"/>
      <c r="N69" s="877"/>
      <c r="O69" s="877"/>
      <c r="P69" s="877"/>
      <c r="Q69" s="820"/>
      <c r="R69" s="820"/>
    </row>
    <row r="70" spans="1:18" s="875" customFormat="1" ht="15.75" customHeight="1">
      <c r="A70" s="844"/>
      <c r="B70" s="878" t="s">
        <v>794</v>
      </c>
      <c r="C70" s="532" t="s">
        <v>90</v>
      </c>
      <c r="D70" s="874">
        <v>130</v>
      </c>
      <c r="E70" s="874">
        <v>130</v>
      </c>
      <c r="F70" s="879">
        <f aca="true" t="shared" si="22" ref="F70:F79">SUM(G70:P70)</f>
        <v>130</v>
      </c>
      <c r="G70" s="877">
        <v>9</v>
      </c>
      <c r="H70" s="877">
        <v>25</v>
      </c>
      <c r="I70" s="877">
        <v>14</v>
      </c>
      <c r="J70" s="877">
        <v>3</v>
      </c>
      <c r="K70" s="877">
        <v>12</v>
      </c>
      <c r="L70" s="877">
        <v>11</v>
      </c>
      <c r="M70" s="877">
        <v>15</v>
      </c>
      <c r="N70" s="877">
        <v>10</v>
      </c>
      <c r="O70" s="877">
        <v>19</v>
      </c>
      <c r="P70" s="877">
        <v>12</v>
      </c>
      <c r="Q70" s="852">
        <f>E70/D70*100</f>
        <v>100</v>
      </c>
      <c r="R70" s="852">
        <f>F70/E70*100</f>
        <v>100</v>
      </c>
    </row>
    <row r="71" spans="1:18" s="821" customFormat="1" ht="15.75" customHeight="1">
      <c r="A71" s="880">
        <v>1</v>
      </c>
      <c r="B71" s="881" t="s">
        <v>795</v>
      </c>
      <c r="C71" s="532" t="s">
        <v>90</v>
      </c>
      <c r="D71" s="824">
        <v>130</v>
      </c>
      <c r="E71" s="824">
        <v>130</v>
      </c>
      <c r="F71" s="879">
        <f t="shared" si="22"/>
        <v>130</v>
      </c>
      <c r="G71" s="882">
        <v>9</v>
      </c>
      <c r="H71" s="882">
        <v>25</v>
      </c>
      <c r="I71" s="882">
        <v>14</v>
      </c>
      <c r="J71" s="882">
        <v>3</v>
      </c>
      <c r="K71" s="882">
        <v>12</v>
      </c>
      <c r="L71" s="882">
        <v>11</v>
      </c>
      <c r="M71" s="882">
        <v>15</v>
      </c>
      <c r="N71" s="882">
        <v>10</v>
      </c>
      <c r="O71" s="882">
        <v>19</v>
      </c>
      <c r="P71" s="882">
        <v>12</v>
      </c>
      <c r="Q71" s="852">
        <f>E71/D71*100</f>
        <v>100</v>
      </c>
      <c r="R71" s="852">
        <f>F71/E71*100</f>
        <v>100</v>
      </c>
    </row>
    <row r="72" spans="1:18" s="821" customFormat="1" ht="15.75" customHeight="1">
      <c r="A72" s="880">
        <v>2</v>
      </c>
      <c r="B72" s="881" t="s">
        <v>796</v>
      </c>
      <c r="C72" s="532" t="s">
        <v>90</v>
      </c>
      <c r="D72" s="824">
        <v>130</v>
      </c>
      <c r="E72" s="824">
        <v>130</v>
      </c>
      <c r="F72" s="879">
        <f t="shared" si="22"/>
        <v>130</v>
      </c>
      <c r="G72" s="882">
        <v>9</v>
      </c>
      <c r="H72" s="882">
        <v>25</v>
      </c>
      <c r="I72" s="882">
        <v>14</v>
      </c>
      <c r="J72" s="882">
        <v>3</v>
      </c>
      <c r="K72" s="882">
        <v>12</v>
      </c>
      <c r="L72" s="882">
        <v>11</v>
      </c>
      <c r="M72" s="882">
        <v>15</v>
      </c>
      <c r="N72" s="882">
        <v>10</v>
      </c>
      <c r="O72" s="882">
        <v>19</v>
      </c>
      <c r="P72" s="882">
        <v>12</v>
      </c>
      <c r="Q72" s="852">
        <f aca="true" t="shared" si="23" ref="Q72:R109">E72/D72*100</f>
        <v>100</v>
      </c>
      <c r="R72" s="852">
        <f t="shared" si="23"/>
        <v>100</v>
      </c>
    </row>
    <row r="73" spans="1:18" s="821" customFormat="1" ht="15.75" customHeight="1">
      <c r="A73" s="880">
        <v>3</v>
      </c>
      <c r="B73" s="881" t="s">
        <v>797</v>
      </c>
      <c r="C73" s="532" t="s">
        <v>90</v>
      </c>
      <c r="D73" s="824">
        <v>129</v>
      </c>
      <c r="E73" s="824">
        <v>129</v>
      </c>
      <c r="F73" s="879">
        <f t="shared" si="22"/>
        <v>130</v>
      </c>
      <c r="G73" s="882">
        <v>9</v>
      </c>
      <c r="H73" s="882">
        <v>25</v>
      </c>
      <c r="I73" s="882">
        <v>14</v>
      </c>
      <c r="J73" s="882">
        <v>3</v>
      </c>
      <c r="K73" s="882">
        <v>12</v>
      </c>
      <c r="L73" s="882">
        <v>11</v>
      </c>
      <c r="M73" s="882">
        <v>15</v>
      </c>
      <c r="N73" s="882">
        <v>10</v>
      </c>
      <c r="O73" s="882">
        <v>19</v>
      </c>
      <c r="P73" s="882">
        <v>12</v>
      </c>
      <c r="Q73" s="852">
        <f t="shared" si="23"/>
        <v>100</v>
      </c>
      <c r="R73" s="836">
        <f t="shared" si="23"/>
        <v>100.7751937984496</v>
      </c>
    </row>
    <row r="74" spans="1:18" s="821" customFormat="1" ht="15.75" customHeight="1">
      <c r="A74" s="880">
        <v>4</v>
      </c>
      <c r="B74" s="881" t="s">
        <v>798</v>
      </c>
      <c r="C74" s="532" t="s">
        <v>90</v>
      </c>
      <c r="D74" s="824">
        <v>88</v>
      </c>
      <c r="E74" s="850">
        <v>88</v>
      </c>
      <c r="F74" s="879">
        <f t="shared" si="22"/>
        <v>112</v>
      </c>
      <c r="G74" s="879">
        <f>'[4]tieu hoc'!F95</f>
        <v>9</v>
      </c>
      <c r="H74" s="879">
        <f>'[4]tieu hoc'!F141</f>
        <v>25</v>
      </c>
      <c r="I74" s="879">
        <f>'[4]tieu hoc'!F187</f>
        <v>11</v>
      </c>
      <c r="J74" s="879">
        <f>'[4]tieu hoc'!F233</f>
        <v>3</v>
      </c>
      <c r="K74" s="879">
        <f>'[4]tieu hoc'!F279</f>
        <v>10</v>
      </c>
      <c r="L74" s="879">
        <v>11</v>
      </c>
      <c r="M74" s="879">
        <f>'[4]tieu hoc'!F371</f>
        <v>15</v>
      </c>
      <c r="N74" s="879">
        <f>'[4]tieu hoc'!F417</f>
        <v>10</v>
      </c>
      <c r="O74" s="879">
        <f>'[4]tieu hoc'!F463</f>
        <v>13</v>
      </c>
      <c r="P74" s="879">
        <f>'[4]tieu hoc'!F509</f>
        <v>5</v>
      </c>
      <c r="Q74" s="852">
        <f t="shared" si="23"/>
        <v>100</v>
      </c>
      <c r="R74" s="836">
        <f t="shared" si="23"/>
        <v>127.27272727272727</v>
      </c>
    </row>
    <row r="75" spans="1:18" s="821" customFormat="1" ht="15.75" customHeight="1">
      <c r="A75" s="880">
        <v>5</v>
      </c>
      <c r="B75" s="881" t="s">
        <v>799</v>
      </c>
      <c r="C75" s="532" t="s">
        <v>90</v>
      </c>
      <c r="D75" s="824">
        <v>130</v>
      </c>
      <c r="E75" s="824">
        <v>130</v>
      </c>
      <c r="F75" s="879">
        <f t="shared" si="22"/>
        <v>130</v>
      </c>
      <c r="G75" s="882">
        <v>9</v>
      </c>
      <c r="H75" s="882">
        <v>25</v>
      </c>
      <c r="I75" s="882">
        <v>14</v>
      </c>
      <c r="J75" s="882">
        <v>3</v>
      </c>
      <c r="K75" s="882">
        <v>12</v>
      </c>
      <c r="L75" s="882">
        <v>11</v>
      </c>
      <c r="M75" s="882">
        <v>15</v>
      </c>
      <c r="N75" s="882">
        <v>10</v>
      </c>
      <c r="O75" s="882">
        <v>19</v>
      </c>
      <c r="P75" s="882">
        <v>12</v>
      </c>
      <c r="Q75" s="852">
        <f t="shared" si="23"/>
        <v>100</v>
      </c>
      <c r="R75" s="852">
        <f t="shared" si="23"/>
        <v>100</v>
      </c>
    </row>
    <row r="76" spans="1:18" s="821" customFormat="1" ht="15.75" customHeight="1">
      <c r="A76" s="880">
        <v>6</v>
      </c>
      <c r="B76" s="881" t="s">
        <v>800</v>
      </c>
      <c r="C76" s="532" t="s">
        <v>90</v>
      </c>
      <c r="D76" s="850">
        <v>119</v>
      </c>
      <c r="E76" s="850">
        <v>119</v>
      </c>
      <c r="F76" s="879">
        <f t="shared" si="22"/>
        <v>128</v>
      </c>
      <c r="G76" s="882">
        <f>'[4]THCS'!F90</f>
        <v>9</v>
      </c>
      <c r="H76" s="879">
        <f>'[4]THCS'!F134</f>
        <v>25</v>
      </c>
      <c r="I76" s="882">
        <f>'[4]THCS'!F178</f>
        <v>14</v>
      </c>
      <c r="J76" s="882">
        <f>'[4]THCS'!F222</f>
        <v>3</v>
      </c>
      <c r="K76" s="882">
        <f>'[4]THCS'!F266</f>
        <v>12</v>
      </c>
      <c r="L76" s="879">
        <f>'[4]THCS'!F310</f>
        <v>11</v>
      </c>
      <c r="M76" s="882">
        <f>'[4]THCS'!F354</f>
        <v>14</v>
      </c>
      <c r="N76" s="879">
        <f>'[4]THCS'!F398</f>
        <v>10</v>
      </c>
      <c r="O76" s="879">
        <f>'[4]THCS'!F442</f>
        <v>19</v>
      </c>
      <c r="P76" s="882">
        <f>'[4]THCS'!F486</f>
        <v>11</v>
      </c>
      <c r="Q76" s="852">
        <f t="shared" si="23"/>
        <v>100</v>
      </c>
      <c r="R76" s="836">
        <f t="shared" si="23"/>
        <v>107.56302521008404</v>
      </c>
    </row>
    <row r="77" spans="1:20" s="821" customFormat="1" ht="15.75" customHeight="1">
      <c r="A77" s="880">
        <v>7</v>
      </c>
      <c r="B77" s="881" t="s">
        <v>801</v>
      </c>
      <c r="C77" s="532" t="s">
        <v>90</v>
      </c>
      <c r="D77" s="850">
        <v>17</v>
      </c>
      <c r="E77" s="1578">
        <v>21</v>
      </c>
      <c r="F77" s="879">
        <f t="shared" si="22"/>
        <v>46</v>
      </c>
      <c r="G77" s="882">
        <f>'[4]THCS'!F91</f>
        <v>9</v>
      </c>
      <c r="H77" s="882">
        <f>'[4]THCS'!F135</f>
        <v>15</v>
      </c>
      <c r="I77" s="882">
        <v>1</v>
      </c>
      <c r="J77" s="882">
        <f>'[4]THCS'!F223</f>
        <v>2</v>
      </c>
      <c r="K77" s="882">
        <v>1</v>
      </c>
      <c r="L77" s="879">
        <v>3</v>
      </c>
      <c r="M77" s="882">
        <f>'[4]THCS'!F355</f>
        <v>3</v>
      </c>
      <c r="N77" s="879">
        <v>6</v>
      </c>
      <c r="O77" s="879">
        <v>3</v>
      </c>
      <c r="P77" s="882">
        <v>3</v>
      </c>
      <c r="Q77" s="852">
        <f t="shared" si="23"/>
        <v>123.52941176470588</v>
      </c>
      <c r="R77" s="836">
        <f t="shared" si="23"/>
        <v>219.04761904761907</v>
      </c>
      <c r="T77" s="883" t="s">
        <v>1266</v>
      </c>
    </row>
    <row r="78" spans="1:18" s="821" customFormat="1" ht="15.75" customHeight="1">
      <c r="A78" s="880">
        <v>8</v>
      </c>
      <c r="B78" s="881" t="s">
        <v>802</v>
      </c>
      <c r="C78" s="532" t="s">
        <v>90</v>
      </c>
      <c r="D78" s="824">
        <v>130</v>
      </c>
      <c r="E78" s="824">
        <v>130</v>
      </c>
      <c r="F78" s="879">
        <f t="shared" si="22"/>
        <v>130</v>
      </c>
      <c r="G78" s="882">
        <v>9</v>
      </c>
      <c r="H78" s="882">
        <v>25</v>
      </c>
      <c r="I78" s="882">
        <v>14</v>
      </c>
      <c r="J78" s="882">
        <v>3</v>
      </c>
      <c r="K78" s="882">
        <v>12</v>
      </c>
      <c r="L78" s="882">
        <v>11</v>
      </c>
      <c r="M78" s="882">
        <v>15</v>
      </c>
      <c r="N78" s="882">
        <v>10</v>
      </c>
      <c r="O78" s="882">
        <v>19</v>
      </c>
      <c r="P78" s="882">
        <v>12</v>
      </c>
      <c r="Q78" s="852">
        <f t="shared" si="23"/>
        <v>100</v>
      </c>
      <c r="R78" s="836">
        <f t="shared" si="23"/>
        <v>100</v>
      </c>
    </row>
    <row r="79" spans="1:18" s="821" customFormat="1" ht="15.75" customHeight="1">
      <c r="A79" s="880">
        <v>9</v>
      </c>
      <c r="B79" s="881" t="s">
        <v>803</v>
      </c>
      <c r="C79" s="532" t="s">
        <v>90</v>
      </c>
      <c r="D79" s="850">
        <v>72</v>
      </c>
      <c r="E79" s="1578">
        <v>78</v>
      </c>
      <c r="F79" s="879">
        <f t="shared" si="22"/>
        <v>110</v>
      </c>
      <c r="G79" s="882">
        <f>'[4]tieu hoc'!F92</f>
        <v>9</v>
      </c>
      <c r="H79" s="879">
        <f>'[4]tieu hoc'!F138</f>
        <v>25</v>
      </c>
      <c r="I79" s="879">
        <f>'[4]tieu hoc'!F184</f>
        <v>13</v>
      </c>
      <c r="J79" s="882">
        <f>'[4]tieu hoc'!F230</f>
        <v>3</v>
      </c>
      <c r="K79" s="882">
        <f>'[4]tieu hoc'!F276</f>
        <v>11</v>
      </c>
      <c r="L79" s="879">
        <v>11</v>
      </c>
      <c r="M79" s="882">
        <f>'[4]tieu hoc'!F368</f>
        <v>11</v>
      </c>
      <c r="N79" s="879">
        <f>'[4]tieu hoc'!F414</f>
        <v>10</v>
      </c>
      <c r="O79" s="879">
        <f>'[4]tieu hoc'!F460</f>
        <v>10</v>
      </c>
      <c r="P79" s="882">
        <f>'[4]tieu hoc'!F506</f>
        <v>7</v>
      </c>
      <c r="Q79" s="852">
        <f t="shared" si="23"/>
        <v>108.33333333333333</v>
      </c>
      <c r="R79" s="836">
        <f t="shared" si="23"/>
        <v>141.02564102564102</v>
      </c>
    </row>
    <row r="80" spans="1:20" s="821" customFormat="1" ht="15.75" customHeight="1">
      <c r="A80" s="840" t="s">
        <v>151</v>
      </c>
      <c r="B80" s="1019" t="s">
        <v>1306</v>
      </c>
      <c r="C80" s="532" t="s">
        <v>804</v>
      </c>
      <c r="D80" s="864">
        <f>D81+D84+D97+D98+D99+D101+D102</f>
        <v>525</v>
      </c>
      <c r="E80" s="864">
        <f>E81+E84+E97+E98+E99+E101+E102</f>
        <v>526</v>
      </c>
      <c r="F80" s="864">
        <f>F81+F84+F97+F98+F99+F101+F102</f>
        <v>508</v>
      </c>
      <c r="G80" s="864">
        <f>G81+G88+G91</f>
        <v>35</v>
      </c>
      <c r="H80" s="864">
        <f aca="true" t="shared" si="24" ref="H80:P80">H81+H88+H91</f>
        <v>92</v>
      </c>
      <c r="I80" s="864">
        <f t="shared" si="24"/>
        <v>57</v>
      </c>
      <c r="J80" s="864">
        <f t="shared" si="24"/>
        <v>14</v>
      </c>
      <c r="K80" s="864">
        <f t="shared" si="24"/>
        <v>40</v>
      </c>
      <c r="L80" s="864">
        <f t="shared" si="24"/>
        <v>36</v>
      </c>
      <c r="M80" s="864">
        <f t="shared" si="24"/>
        <v>45</v>
      </c>
      <c r="N80" s="864">
        <f t="shared" si="24"/>
        <v>36</v>
      </c>
      <c r="O80" s="864">
        <f t="shared" si="24"/>
        <v>68</v>
      </c>
      <c r="P80" s="864">
        <f t="shared" si="24"/>
        <v>37</v>
      </c>
      <c r="Q80" s="820">
        <f t="shared" si="23"/>
        <v>100.19047619047619</v>
      </c>
      <c r="R80" s="820">
        <f t="shared" si="23"/>
        <v>96.57794676806084</v>
      </c>
      <c r="T80" s="865"/>
    </row>
    <row r="81" spans="1:20" s="821" customFormat="1" ht="15.75" customHeight="1">
      <c r="A81" s="1026">
        <v>1</v>
      </c>
      <c r="B81" s="531" t="s">
        <v>805</v>
      </c>
      <c r="C81" s="532" t="s">
        <v>806</v>
      </c>
      <c r="D81" s="874">
        <v>176</v>
      </c>
      <c r="E81" s="874">
        <v>176</v>
      </c>
      <c r="F81" s="864">
        <f>SUM(G81:P81)</f>
        <v>172</v>
      </c>
      <c r="G81" s="864">
        <v>18</v>
      </c>
      <c r="H81" s="864">
        <f>'[4]mam non'!F117</f>
        <v>35</v>
      </c>
      <c r="I81" s="864">
        <f>'[4]mam non'!F172</f>
        <v>19</v>
      </c>
      <c r="J81" s="864">
        <f>'[4]mam non'!F227</f>
        <v>6</v>
      </c>
      <c r="K81" s="864">
        <v>15</v>
      </c>
      <c r="L81" s="864">
        <f>'[4]mam non'!F337</f>
        <v>12</v>
      </c>
      <c r="M81" s="864">
        <f>'[4]mam non'!F392</f>
        <v>15</v>
      </c>
      <c r="N81" s="864">
        <f>'[4]mam non'!F447</f>
        <v>13</v>
      </c>
      <c r="O81" s="864">
        <f>'[4]mam non'!F502</f>
        <v>25</v>
      </c>
      <c r="P81" s="864">
        <f>'[4]mam non'!F558</f>
        <v>14</v>
      </c>
      <c r="Q81" s="819">
        <f t="shared" si="23"/>
        <v>100</v>
      </c>
      <c r="R81" s="820">
        <f t="shared" si="23"/>
        <v>97.72727272727273</v>
      </c>
      <c r="T81" s="865"/>
    </row>
    <row r="82" spans="1:20" s="821" customFormat="1" ht="15.75" customHeight="1">
      <c r="A82" s="830"/>
      <c r="B82" s="841" t="s">
        <v>807</v>
      </c>
      <c r="C82" s="532" t="s">
        <v>806</v>
      </c>
      <c r="D82" s="824">
        <v>97</v>
      </c>
      <c r="E82" s="824">
        <v>97</v>
      </c>
      <c r="F82" s="879">
        <f>SUM(G82:P82)</f>
        <v>95</v>
      </c>
      <c r="G82" s="879">
        <v>15</v>
      </c>
      <c r="H82" s="879">
        <v>18</v>
      </c>
      <c r="I82" s="879">
        <f>'[4]mam non'!F177</f>
        <v>9</v>
      </c>
      <c r="J82" s="879">
        <f>'[4]mam non'!F232</f>
        <v>5</v>
      </c>
      <c r="K82" s="879">
        <v>7</v>
      </c>
      <c r="L82" s="879">
        <f>'[4]mam non'!F342</f>
        <v>5</v>
      </c>
      <c r="M82" s="879">
        <f>'[4]mam non'!F397</f>
        <v>6</v>
      </c>
      <c r="N82" s="879">
        <v>8</v>
      </c>
      <c r="O82" s="879">
        <f>'[4]mam non'!F507</f>
        <v>18</v>
      </c>
      <c r="P82" s="879">
        <v>4</v>
      </c>
      <c r="Q82" s="852">
        <f t="shared" si="23"/>
        <v>100</v>
      </c>
      <c r="R82" s="836">
        <f t="shared" si="23"/>
        <v>97.9381443298969</v>
      </c>
      <c r="T82" s="865"/>
    </row>
    <row r="83" spans="1:111" s="838" customFormat="1" ht="15.75" customHeight="1">
      <c r="A83" s="884"/>
      <c r="B83" s="871" t="s">
        <v>808</v>
      </c>
      <c r="C83" s="416" t="s">
        <v>806</v>
      </c>
      <c r="D83" s="842">
        <v>3</v>
      </c>
      <c r="E83" s="842">
        <v>3</v>
      </c>
      <c r="F83" s="879"/>
      <c r="G83" s="879">
        <v>2</v>
      </c>
      <c r="H83" s="879">
        <f>'[4]mam non'!F119</f>
        <v>1</v>
      </c>
      <c r="I83" s="879"/>
      <c r="J83" s="879"/>
      <c r="K83" s="879"/>
      <c r="L83" s="879"/>
      <c r="M83" s="879"/>
      <c r="N83" s="879"/>
      <c r="O83" s="879"/>
      <c r="P83" s="879"/>
      <c r="Q83" s="852">
        <f t="shared" si="23"/>
        <v>100</v>
      </c>
      <c r="R83" s="836">
        <f t="shared" si="23"/>
        <v>0</v>
      </c>
      <c r="T83" s="865"/>
      <c r="W83" s="821"/>
      <c r="AJ83" s="885"/>
      <c r="AK83" s="886"/>
      <c r="AL83" s="886"/>
      <c r="AN83" s="418"/>
      <c r="AO83" s="418"/>
      <c r="AP83" s="418"/>
      <c r="AQ83" s="418"/>
      <c r="AR83" s="418"/>
      <c r="AS83" s="418"/>
      <c r="AT83" s="418"/>
      <c r="AU83" s="418"/>
      <c r="AV83" s="418"/>
      <c r="AW83" s="418"/>
      <c r="BX83" s="887"/>
      <c r="BY83" s="887"/>
      <c r="BZ83" s="888"/>
      <c r="CA83" s="888"/>
      <c r="CS83" s="888"/>
      <c r="DG83" s="888"/>
    </row>
    <row r="84" spans="1:20" s="875" customFormat="1" ht="15.75" customHeight="1">
      <c r="A84" s="1026">
        <v>2</v>
      </c>
      <c r="B84" s="531" t="s">
        <v>809</v>
      </c>
      <c r="C84" s="532"/>
      <c r="D84" s="877">
        <v>337</v>
      </c>
      <c r="E84" s="877">
        <f>E88+E91+E95</f>
        <v>334</v>
      </c>
      <c r="F84" s="864">
        <f>SUM(G84:P84)</f>
        <v>321</v>
      </c>
      <c r="G84" s="864">
        <f>G88+G91+G95</f>
        <v>22</v>
      </c>
      <c r="H84" s="864">
        <f>H88+H91+H95</f>
        <v>63</v>
      </c>
      <c r="I84" s="864">
        <f>I88+I91+I95</f>
        <v>41</v>
      </c>
      <c r="J84" s="864">
        <f>J88+J91+J95</f>
        <v>9</v>
      </c>
      <c r="K84" s="864">
        <f aca="true" t="shared" si="25" ref="K84:P84">K88+K91+K95</f>
        <v>27</v>
      </c>
      <c r="L84" s="864">
        <f t="shared" si="25"/>
        <v>26</v>
      </c>
      <c r="M84" s="864">
        <f t="shared" si="25"/>
        <v>33</v>
      </c>
      <c r="N84" s="864">
        <f t="shared" si="25"/>
        <v>26</v>
      </c>
      <c r="O84" s="864">
        <f t="shared" si="25"/>
        <v>47</v>
      </c>
      <c r="P84" s="864">
        <f t="shared" si="25"/>
        <v>27</v>
      </c>
      <c r="Q84" s="820">
        <f t="shared" si="23"/>
        <v>99.10979228486647</v>
      </c>
      <c r="R84" s="820">
        <f t="shared" si="23"/>
        <v>96.10778443113772</v>
      </c>
      <c r="T84" s="865"/>
    </row>
    <row r="85" spans="1:20" s="821" customFormat="1" ht="15.75" customHeight="1">
      <c r="A85" s="830"/>
      <c r="B85" s="841" t="s">
        <v>810</v>
      </c>
      <c r="C85" s="532" t="s">
        <v>806</v>
      </c>
      <c r="D85" s="824">
        <v>9</v>
      </c>
      <c r="E85" s="824">
        <v>9</v>
      </c>
      <c r="F85" s="879">
        <f>SUM(G85:P85)</f>
        <v>9</v>
      </c>
      <c r="G85" s="879">
        <v>1</v>
      </c>
      <c r="H85" s="879">
        <v>1</v>
      </c>
      <c r="I85" s="879">
        <v>1</v>
      </c>
      <c r="J85" s="879">
        <v>0</v>
      </c>
      <c r="K85" s="879">
        <v>1</v>
      </c>
      <c r="L85" s="879">
        <v>1</v>
      </c>
      <c r="M85" s="879">
        <v>1</v>
      </c>
      <c r="N85" s="879">
        <v>1</v>
      </c>
      <c r="O85" s="879">
        <v>1</v>
      </c>
      <c r="P85" s="879">
        <v>1</v>
      </c>
      <c r="Q85" s="852">
        <f t="shared" si="23"/>
        <v>100</v>
      </c>
      <c r="R85" s="852">
        <f t="shared" si="23"/>
        <v>100</v>
      </c>
      <c r="T85" s="865"/>
    </row>
    <row r="86" spans="1:20" s="821" customFormat="1" ht="15.75" customHeight="1">
      <c r="A86" s="889"/>
      <c r="B86" s="841" t="s">
        <v>811</v>
      </c>
      <c r="C86" s="532" t="s">
        <v>806</v>
      </c>
      <c r="D86" s="824">
        <f>D89+D92+D96</f>
        <v>218</v>
      </c>
      <c r="E86" s="1579">
        <v>215</v>
      </c>
      <c r="F86" s="879">
        <f>F89+F92+F96</f>
        <v>235</v>
      </c>
      <c r="G86" s="879">
        <f>G89+G92+G96</f>
        <v>21</v>
      </c>
      <c r="H86" s="879">
        <f aca="true" t="shared" si="26" ref="H86:P86">H89+H92+H96</f>
        <v>53</v>
      </c>
      <c r="I86" s="879">
        <f t="shared" si="26"/>
        <v>29</v>
      </c>
      <c r="J86" s="879">
        <f t="shared" si="26"/>
        <v>8</v>
      </c>
      <c r="K86" s="879">
        <f t="shared" si="26"/>
        <v>20</v>
      </c>
      <c r="L86" s="879">
        <f t="shared" si="26"/>
        <v>12</v>
      </c>
      <c r="M86" s="879">
        <f t="shared" si="26"/>
        <v>20</v>
      </c>
      <c r="N86" s="879">
        <f t="shared" si="26"/>
        <v>20</v>
      </c>
      <c r="O86" s="879">
        <f t="shared" si="26"/>
        <v>39</v>
      </c>
      <c r="P86" s="879">
        <f t="shared" si="26"/>
        <v>13</v>
      </c>
      <c r="Q86" s="836">
        <f t="shared" si="23"/>
        <v>98.62385321100918</v>
      </c>
      <c r="R86" s="836">
        <f t="shared" si="23"/>
        <v>109.30232558139534</v>
      </c>
      <c r="T86" s="865"/>
    </row>
    <row r="87" spans="1:20" s="821" customFormat="1" ht="15.75" customHeight="1">
      <c r="A87" s="839"/>
      <c r="B87" s="841" t="s">
        <v>812</v>
      </c>
      <c r="C87" s="532" t="s">
        <v>806</v>
      </c>
      <c r="D87" s="882">
        <v>134</v>
      </c>
      <c r="E87" s="882">
        <v>142</v>
      </c>
      <c r="F87" s="879">
        <f>F90+F93</f>
        <v>133</v>
      </c>
      <c r="G87" s="879">
        <v>0</v>
      </c>
      <c r="H87" s="879">
        <f aca="true" t="shared" si="27" ref="H87:P87">H90+H93</f>
        <v>11</v>
      </c>
      <c r="I87" s="879">
        <f t="shared" si="27"/>
        <v>30</v>
      </c>
      <c r="J87" s="879">
        <f t="shared" si="27"/>
        <v>0</v>
      </c>
      <c r="K87" s="879">
        <f t="shared" si="27"/>
        <v>19</v>
      </c>
      <c r="L87" s="879">
        <f t="shared" si="27"/>
        <v>22</v>
      </c>
      <c r="M87" s="879">
        <f t="shared" si="27"/>
        <v>25</v>
      </c>
      <c r="N87" s="879">
        <f t="shared" si="27"/>
        <v>2</v>
      </c>
      <c r="O87" s="879">
        <f t="shared" si="27"/>
        <v>9</v>
      </c>
      <c r="P87" s="879">
        <f t="shared" si="27"/>
        <v>15</v>
      </c>
      <c r="Q87" s="836">
        <f t="shared" si="23"/>
        <v>105.97014925373134</v>
      </c>
      <c r="R87" s="836">
        <f t="shared" si="23"/>
        <v>93.66197183098592</v>
      </c>
      <c r="T87" s="865"/>
    </row>
    <row r="88" spans="1:20" s="875" customFormat="1" ht="15.75" customHeight="1">
      <c r="A88" s="1026" t="s">
        <v>755</v>
      </c>
      <c r="B88" s="531" t="s">
        <v>813</v>
      </c>
      <c r="C88" s="532" t="s">
        <v>804</v>
      </c>
      <c r="D88" s="874">
        <v>176</v>
      </c>
      <c r="E88" s="874">
        <v>173</v>
      </c>
      <c r="F88" s="864">
        <f aca="true" t="shared" si="28" ref="F88:F93">SUM(G88:P88)</f>
        <v>160</v>
      </c>
      <c r="G88" s="864">
        <f>'[4]tieu hoc'!F52</f>
        <v>9</v>
      </c>
      <c r="H88" s="864">
        <f>'[4]tieu hoc'!F98</f>
        <v>31</v>
      </c>
      <c r="I88" s="864">
        <f>'[4]tieu hoc'!F144</f>
        <v>23</v>
      </c>
      <c r="J88" s="864">
        <f>'[4]tieu hoc'!F190</f>
        <v>4</v>
      </c>
      <c r="K88" s="864">
        <v>13</v>
      </c>
      <c r="L88" s="864">
        <f>'[4]tieu hoc'!F282</f>
        <v>13</v>
      </c>
      <c r="M88" s="864">
        <f>'[4]tieu hoc'!F328</f>
        <v>15</v>
      </c>
      <c r="N88" s="864">
        <f>'[4]tieu hoc'!F374</f>
        <v>13</v>
      </c>
      <c r="O88" s="864">
        <f>'[4]tieu hoc'!F420</f>
        <v>26</v>
      </c>
      <c r="P88" s="864">
        <f>'[4]tieu hoc'!F466</f>
        <v>13</v>
      </c>
      <c r="Q88" s="820">
        <f t="shared" si="23"/>
        <v>98.29545454545455</v>
      </c>
      <c r="R88" s="820">
        <f t="shared" si="23"/>
        <v>92.48554913294798</v>
      </c>
      <c r="T88" s="865"/>
    </row>
    <row r="89" spans="1:20" s="821" customFormat="1" ht="15.75" customHeight="1">
      <c r="A89" s="830"/>
      <c r="B89" s="841" t="s">
        <v>807</v>
      </c>
      <c r="C89" s="532" t="s">
        <v>806</v>
      </c>
      <c r="D89" s="824">
        <v>112</v>
      </c>
      <c r="E89" s="824">
        <v>109</v>
      </c>
      <c r="F89" s="879">
        <f>SUM(G89:P89)</f>
        <v>119</v>
      </c>
      <c r="G89" s="879">
        <f>'[4]tieu hoc'!F58</f>
        <v>9</v>
      </c>
      <c r="H89" s="879">
        <v>29</v>
      </c>
      <c r="I89" s="879">
        <f>'[4]tieu hoc'!F150</f>
        <v>14</v>
      </c>
      <c r="J89" s="879">
        <v>3</v>
      </c>
      <c r="K89" s="879">
        <v>9</v>
      </c>
      <c r="L89" s="879">
        <f>'[4]tieu hoc'!F288</f>
        <v>5</v>
      </c>
      <c r="M89" s="879">
        <f>'[4]tieu hoc'!F334</f>
        <v>11</v>
      </c>
      <c r="N89" s="879">
        <f>'[4]tieu hoc'!F380</f>
        <v>10</v>
      </c>
      <c r="O89" s="879">
        <f>'[4]tieu hoc'!F426</f>
        <v>24</v>
      </c>
      <c r="P89" s="879">
        <f>'[4]tieu hoc'!F472</f>
        <v>5</v>
      </c>
      <c r="Q89" s="836">
        <f t="shared" si="23"/>
        <v>97.32142857142857</v>
      </c>
      <c r="R89" s="836">
        <f t="shared" si="23"/>
        <v>109.1743119266055</v>
      </c>
      <c r="T89" s="865"/>
    </row>
    <row r="90" spans="1:20" s="821" customFormat="1" ht="15.75" customHeight="1">
      <c r="A90" s="837"/>
      <c r="B90" s="841" t="s">
        <v>814</v>
      </c>
      <c r="C90" s="532" t="s">
        <v>806</v>
      </c>
      <c r="D90" s="824">
        <v>72</v>
      </c>
      <c r="E90" s="824">
        <v>73</v>
      </c>
      <c r="F90" s="879">
        <f t="shared" si="28"/>
        <v>74</v>
      </c>
      <c r="G90" s="879">
        <v>0</v>
      </c>
      <c r="H90" s="879">
        <f>'[4]tieu hoc'!F101</f>
        <v>8</v>
      </c>
      <c r="I90" s="879">
        <f>'[4]tieu hoc'!F147</f>
        <v>18</v>
      </c>
      <c r="J90" s="879">
        <f>'[4]tieu hoc'!F193</f>
        <v>0</v>
      </c>
      <c r="K90" s="879">
        <f>'[4]tieu hoc'!F239</f>
        <v>10</v>
      </c>
      <c r="L90" s="879">
        <v>11</v>
      </c>
      <c r="M90" s="879">
        <v>12</v>
      </c>
      <c r="N90" s="879">
        <f>'[4]tieu hoc'!F377</f>
        <v>2</v>
      </c>
      <c r="O90" s="879">
        <v>4</v>
      </c>
      <c r="P90" s="879">
        <v>9</v>
      </c>
      <c r="Q90" s="836">
        <f t="shared" si="23"/>
        <v>101.38888888888889</v>
      </c>
      <c r="R90" s="836">
        <f t="shared" si="23"/>
        <v>101.36986301369863</v>
      </c>
      <c r="T90" s="865"/>
    </row>
    <row r="91" spans="1:20" s="875" customFormat="1" ht="15.75" customHeight="1">
      <c r="A91" s="1026" t="s">
        <v>759</v>
      </c>
      <c r="B91" s="531" t="s">
        <v>815</v>
      </c>
      <c r="C91" s="532" t="s">
        <v>806</v>
      </c>
      <c r="D91" s="874">
        <v>129</v>
      </c>
      <c r="E91" s="874">
        <v>128</v>
      </c>
      <c r="F91" s="864">
        <f t="shared" si="28"/>
        <v>128</v>
      </c>
      <c r="G91" s="864">
        <f>'[4]THCS'!F50</f>
        <v>8</v>
      </c>
      <c r="H91" s="864">
        <f>'[4]THCS'!F94</f>
        <v>26</v>
      </c>
      <c r="I91" s="864">
        <f>'[4]THCS'!F138</f>
        <v>15</v>
      </c>
      <c r="J91" s="864">
        <f>'[4]THCS'!F182</f>
        <v>4</v>
      </c>
      <c r="K91" s="864">
        <v>12</v>
      </c>
      <c r="L91" s="864">
        <f>'[4]THCS'!F270</f>
        <v>11</v>
      </c>
      <c r="M91" s="864">
        <f>'[4]THCS'!F314</f>
        <v>15</v>
      </c>
      <c r="N91" s="864">
        <f>'[4]THCS'!F358</f>
        <v>10</v>
      </c>
      <c r="O91" s="864">
        <f>'[4]THCS'!F402</f>
        <v>17</v>
      </c>
      <c r="P91" s="864">
        <v>10</v>
      </c>
      <c r="Q91" s="820">
        <f t="shared" si="23"/>
        <v>99.2248062015504</v>
      </c>
      <c r="R91" s="819">
        <f t="shared" si="23"/>
        <v>100</v>
      </c>
      <c r="T91" s="865"/>
    </row>
    <row r="92" spans="1:20" s="821" customFormat="1" ht="15.75" customHeight="1">
      <c r="A92" s="830"/>
      <c r="B92" s="841" t="s">
        <v>1267</v>
      </c>
      <c r="C92" s="532" t="s">
        <v>806</v>
      </c>
      <c r="D92" s="824">
        <v>88</v>
      </c>
      <c r="E92" s="824">
        <v>88</v>
      </c>
      <c r="F92" s="879">
        <f>SUM(G92:P92)</f>
        <v>96</v>
      </c>
      <c r="G92" s="879">
        <f>'[4]THCS'!F56</f>
        <v>8</v>
      </c>
      <c r="H92" s="879">
        <f>'[4]THCS'!F100</f>
        <v>19</v>
      </c>
      <c r="I92" s="879">
        <f>'[4]THCS'!F144</f>
        <v>14</v>
      </c>
      <c r="J92" s="879">
        <f>'[4]THCS'!F188</f>
        <v>4</v>
      </c>
      <c r="K92" s="879">
        <v>9</v>
      </c>
      <c r="L92" s="879">
        <f>'[4]THCS'!F276</f>
        <v>6</v>
      </c>
      <c r="M92" s="879">
        <f>'[4]THCS'!F320</f>
        <v>9</v>
      </c>
      <c r="N92" s="879">
        <f>'[4]THCS'!F364</f>
        <v>8</v>
      </c>
      <c r="O92" s="879">
        <f>'[4]THCS'!F408</f>
        <v>13</v>
      </c>
      <c r="P92" s="879">
        <f>'[4]THCS'!F452</f>
        <v>6</v>
      </c>
      <c r="Q92" s="852">
        <f t="shared" si="23"/>
        <v>100</v>
      </c>
      <c r="R92" s="836">
        <f t="shared" si="23"/>
        <v>109.09090909090908</v>
      </c>
      <c r="T92" s="865"/>
    </row>
    <row r="93" spans="1:21" s="821" customFormat="1" ht="15.75" customHeight="1">
      <c r="A93" s="884"/>
      <c r="B93" s="841" t="s">
        <v>1268</v>
      </c>
      <c r="C93" s="532" t="s">
        <v>806</v>
      </c>
      <c r="D93" s="824">
        <v>65</v>
      </c>
      <c r="E93" s="824">
        <v>61</v>
      </c>
      <c r="F93" s="879">
        <f t="shared" si="28"/>
        <v>59</v>
      </c>
      <c r="G93" s="879">
        <f>'[4]THCS'!F53</f>
        <v>0</v>
      </c>
      <c r="H93" s="879">
        <f>'[4]THCS'!F97</f>
        <v>3</v>
      </c>
      <c r="I93" s="879">
        <f>'[4]THCS'!F141</f>
        <v>12</v>
      </c>
      <c r="J93" s="879">
        <f>'[4]THCS'!F185</f>
        <v>0</v>
      </c>
      <c r="K93" s="879">
        <f>'[4]THCS'!F229</f>
        <v>9</v>
      </c>
      <c r="L93" s="879">
        <f>'[4]THCS'!F273</f>
        <v>11</v>
      </c>
      <c r="M93" s="879">
        <f>'[4]THCS'!F317</f>
        <v>13</v>
      </c>
      <c r="N93" s="879">
        <f>'[4]THCS'!F361</f>
        <v>0</v>
      </c>
      <c r="O93" s="879">
        <f>'[4]THCS'!F405</f>
        <v>5</v>
      </c>
      <c r="P93" s="879">
        <f>'[4]THCS'!F449</f>
        <v>6</v>
      </c>
      <c r="Q93" s="836">
        <f t="shared" si="23"/>
        <v>93.84615384615384</v>
      </c>
      <c r="R93" s="836">
        <f t="shared" si="23"/>
        <v>96.72131147540983</v>
      </c>
      <c r="T93" s="865"/>
      <c r="U93" s="821">
        <f>162-153</f>
        <v>9</v>
      </c>
    </row>
    <row r="94" spans="1:20" s="821" customFormat="1" ht="15.75" customHeight="1">
      <c r="A94" s="884"/>
      <c r="B94" s="871" t="s">
        <v>1269</v>
      </c>
      <c r="C94" s="532"/>
      <c r="D94" s="824">
        <v>1</v>
      </c>
      <c r="E94" s="824">
        <v>1</v>
      </c>
      <c r="F94" s="879"/>
      <c r="G94" s="879"/>
      <c r="H94" s="879">
        <f>'[4]THCS'!F96</f>
        <v>1</v>
      </c>
      <c r="I94" s="879"/>
      <c r="J94" s="879"/>
      <c r="K94" s="879"/>
      <c r="L94" s="879"/>
      <c r="M94" s="879"/>
      <c r="N94" s="879"/>
      <c r="O94" s="879"/>
      <c r="P94" s="879"/>
      <c r="Q94" s="852">
        <f t="shared" si="23"/>
        <v>100</v>
      </c>
      <c r="R94" s="836">
        <f t="shared" si="23"/>
        <v>0</v>
      </c>
      <c r="T94" s="865"/>
    </row>
    <row r="95" spans="1:20" s="821" customFormat="1" ht="15.75" customHeight="1">
      <c r="A95" s="1026" t="s">
        <v>761</v>
      </c>
      <c r="B95" s="531" t="s">
        <v>816</v>
      </c>
      <c r="C95" s="532" t="s">
        <v>806</v>
      </c>
      <c r="D95" s="874">
        <v>32</v>
      </c>
      <c r="E95" s="874">
        <v>33</v>
      </c>
      <c r="F95" s="864">
        <f>SUM(G95:P95)</f>
        <v>33</v>
      </c>
      <c r="G95" s="864">
        <v>5</v>
      </c>
      <c r="H95" s="864">
        <v>6</v>
      </c>
      <c r="I95" s="864">
        <v>3</v>
      </c>
      <c r="J95" s="864">
        <v>1</v>
      </c>
      <c r="K95" s="864">
        <v>2</v>
      </c>
      <c r="L95" s="864">
        <v>2</v>
      </c>
      <c r="M95" s="864">
        <v>3</v>
      </c>
      <c r="N95" s="864">
        <v>3</v>
      </c>
      <c r="O95" s="864">
        <v>4</v>
      </c>
      <c r="P95" s="864">
        <v>4</v>
      </c>
      <c r="Q95" s="820">
        <f t="shared" si="23"/>
        <v>103.125</v>
      </c>
      <c r="R95" s="819">
        <f t="shared" si="23"/>
        <v>100</v>
      </c>
      <c r="T95" s="865"/>
    </row>
    <row r="96" spans="1:20" s="821" customFormat="1" ht="15.75" customHeight="1">
      <c r="A96" s="890"/>
      <c r="B96" s="841" t="s">
        <v>817</v>
      </c>
      <c r="C96" s="532" t="s">
        <v>806</v>
      </c>
      <c r="D96" s="824">
        <v>18</v>
      </c>
      <c r="E96" s="824">
        <v>18</v>
      </c>
      <c r="F96" s="879">
        <f>SUM(G96:P96)</f>
        <v>20</v>
      </c>
      <c r="G96" s="879">
        <v>4</v>
      </c>
      <c r="H96" s="879">
        <v>5</v>
      </c>
      <c r="I96" s="879">
        <v>1</v>
      </c>
      <c r="J96" s="879">
        <v>1</v>
      </c>
      <c r="K96" s="879">
        <v>2</v>
      </c>
      <c r="L96" s="879">
        <v>1</v>
      </c>
      <c r="M96" s="879">
        <v>0</v>
      </c>
      <c r="N96" s="879">
        <v>2</v>
      </c>
      <c r="O96" s="879">
        <v>2</v>
      </c>
      <c r="P96" s="879">
        <v>2</v>
      </c>
      <c r="Q96" s="852">
        <f t="shared" si="23"/>
        <v>100</v>
      </c>
      <c r="R96" s="836">
        <f t="shared" si="23"/>
        <v>111.11111111111111</v>
      </c>
      <c r="T96" s="865"/>
    </row>
    <row r="97" spans="1:20" s="821" customFormat="1" ht="15.75" customHeight="1">
      <c r="A97" s="1026">
        <v>3</v>
      </c>
      <c r="B97" s="531" t="s">
        <v>1270</v>
      </c>
      <c r="C97" s="532" t="s">
        <v>818</v>
      </c>
      <c r="D97" s="874">
        <v>8</v>
      </c>
      <c r="E97" s="874">
        <v>1</v>
      </c>
      <c r="F97" s="864">
        <f>SUM(G97:P97)</f>
        <v>1</v>
      </c>
      <c r="G97" s="864">
        <v>1</v>
      </c>
      <c r="H97" s="864"/>
      <c r="I97" s="864"/>
      <c r="J97" s="864"/>
      <c r="K97" s="864"/>
      <c r="L97" s="864"/>
      <c r="M97" s="864"/>
      <c r="N97" s="864"/>
      <c r="O97" s="864"/>
      <c r="P97" s="864"/>
      <c r="Q97" s="820">
        <f t="shared" si="23"/>
        <v>12.5</v>
      </c>
      <c r="R97" s="819">
        <f t="shared" si="23"/>
        <v>100</v>
      </c>
      <c r="T97" s="865"/>
    </row>
    <row r="98" spans="1:20" s="821" customFormat="1" ht="15.75" customHeight="1">
      <c r="A98" s="1026">
        <v>4</v>
      </c>
      <c r="B98" s="531" t="s">
        <v>1271</v>
      </c>
      <c r="C98" s="532" t="s">
        <v>806</v>
      </c>
      <c r="D98" s="864">
        <v>1</v>
      </c>
      <c r="E98" s="874">
        <v>1</v>
      </c>
      <c r="F98" s="864">
        <v>0</v>
      </c>
      <c r="G98" s="864">
        <v>0</v>
      </c>
      <c r="H98" s="864"/>
      <c r="I98" s="864"/>
      <c r="J98" s="864"/>
      <c r="K98" s="864"/>
      <c r="L98" s="864"/>
      <c r="M98" s="864"/>
      <c r="N98" s="864"/>
      <c r="O98" s="864"/>
      <c r="P98" s="864"/>
      <c r="Q98" s="819">
        <f t="shared" si="23"/>
        <v>100</v>
      </c>
      <c r="R98" s="820">
        <f t="shared" si="23"/>
        <v>0</v>
      </c>
      <c r="T98" s="865"/>
    </row>
    <row r="99" spans="1:20" s="821" customFormat="1" ht="15.75" customHeight="1">
      <c r="A99" s="1026">
        <v>5</v>
      </c>
      <c r="B99" s="531" t="s">
        <v>1272</v>
      </c>
      <c r="C99" s="532" t="s">
        <v>806</v>
      </c>
      <c r="D99" s="874">
        <v>3</v>
      </c>
      <c r="E99" s="874">
        <v>4</v>
      </c>
      <c r="F99" s="864">
        <v>4</v>
      </c>
      <c r="G99" s="864">
        <v>4</v>
      </c>
      <c r="H99" s="864"/>
      <c r="I99" s="864"/>
      <c r="J99" s="864"/>
      <c r="K99" s="864"/>
      <c r="L99" s="864"/>
      <c r="M99" s="864"/>
      <c r="N99" s="864"/>
      <c r="O99" s="864"/>
      <c r="P99" s="864"/>
      <c r="Q99" s="820">
        <f t="shared" si="23"/>
        <v>133.33333333333331</v>
      </c>
      <c r="R99" s="819">
        <f t="shared" si="23"/>
        <v>100</v>
      </c>
      <c r="T99" s="865"/>
    </row>
    <row r="100" spans="1:111" s="891" customFormat="1" ht="15.75" customHeight="1">
      <c r="A100" s="1026"/>
      <c r="B100" s="841" t="s">
        <v>1307</v>
      </c>
      <c r="C100" s="532" t="s">
        <v>806</v>
      </c>
      <c r="D100" s="824">
        <v>2</v>
      </c>
      <c r="E100" s="824">
        <v>3</v>
      </c>
      <c r="F100" s="879">
        <v>3</v>
      </c>
      <c r="G100" s="879">
        <v>3</v>
      </c>
      <c r="H100" s="864"/>
      <c r="I100" s="864"/>
      <c r="J100" s="864"/>
      <c r="K100" s="864"/>
      <c r="L100" s="864"/>
      <c r="M100" s="864"/>
      <c r="N100" s="864"/>
      <c r="O100" s="864"/>
      <c r="P100" s="864"/>
      <c r="Q100" s="819">
        <f t="shared" si="23"/>
        <v>150</v>
      </c>
      <c r="R100" s="820">
        <f t="shared" si="23"/>
        <v>100</v>
      </c>
      <c r="T100" s="865"/>
      <c r="AJ100" s="892"/>
      <c r="AK100" s="893"/>
      <c r="AL100" s="893"/>
      <c r="BX100" s="894">
        <f>E100/D100-1</f>
        <v>0.5</v>
      </c>
      <c r="BY100" s="894"/>
      <c r="BZ100" s="895">
        <f>E100-D100</f>
        <v>1</v>
      </c>
      <c r="CA100" s="895"/>
      <c r="CS100" s="895"/>
      <c r="DG100" s="895"/>
    </row>
    <row r="101" spans="1:20" s="875" customFormat="1" ht="15.75" customHeight="1">
      <c r="A101" s="1014">
        <v>6</v>
      </c>
      <c r="B101" s="1015" t="s">
        <v>1273</v>
      </c>
      <c r="C101" s="1024" t="s">
        <v>806</v>
      </c>
      <c r="D101" s="1016">
        <v>0</v>
      </c>
      <c r="E101" s="1016">
        <v>9</v>
      </c>
      <c r="F101" s="864">
        <v>9</v>
      </c>
      <c r="G101" s="864">
        <v>0</v>
      </c>
      <c r="H101" s="864">
        <v>1</v>
      </c>
      <c r="I101" s="864">
        <v>1</v>
      </c>
      <c r="J101" s="864">
        <v>1</v>
      </c>
      <c r="K101" s="864">
        <v>1</v>
      </c>
      <c r="L101" s="864">
        <v>1</v>
      </c>
      <c r="M101" s="864">
        <v>1</v>
      </c>
      <c r="N101" s="864">
        <v>1</v>
      </c>
      <c r="O101" s="864">
        <v>1</v>
      </c>
      <c r="P101" s="864">
        <v>1</v>
      </c>
      <c r="Q101" s="819"/>
      <c r="R101" s="819"/>
      <c r="T101" s="865"/>
    </row>
    <row r="102" spans="1:20" s="821" customFormat="1" ht="27" customHeight="1">
      <c r="A102" s="896" t="s">
        <v>979</v>
      </c>
      <c r="B102" s="823" t="s">
        <v>1274</v>
      </c>
      <c r="C102" s="375"/>
      <c r="D102" s="897">
        <v>0</v>
      </c>
      <c r="E102" s="897">
        <v>1</v>
      </c>
      <c r="F102" s="897">
        <v>1</v>
      </c>
      <c r="G102" s="897">
        <v>1</v>
      </c>
      <c r="H102" s="864"/>
      <c r="I102" s="864"/>
      <c r="J102" s="864"/>
      <c r="K102" s="864"/>
      <c r="L102" s="864"/>
      <c r="M102" s="864"/>
      <c r="N102" s="864"/>
      <c r="O102" s="864"/>
      <c r="P102" s="864"/>
      <c r="Q102" s="819"/>
      <c r="R102" s="819"/>
      <c r="T102" s="865"/>
    </row>
    <row r="103" spans="1:20" s="821" customFormat="1" ht="28.5" customHeight="1">
      <c r="A103" s="896" t="s">
        <v>1275</v>
      </c>
      <c r="B103" s="1020" t="s">
        <v>1308</v>
      </c>
      <c r="C103" s="375"/>
      <c r="D103" s="897"/>
      <c r="E103" s="897"/>
      <c r="F103" s="897"/>
      <c r="G103" s="897"/>
      <c r="H103" s="864"/>
      <c r="I103" s="864"/>
      <c r="J103" s="864"/>
      <c r="K103" s="864"/>
      <c r="L103" s="864"/>
      <c r="M103" s="864"/>
      <c r="N103" s="864"/>
      <c r="O103" s="864"/>
      <c r="P103" s="864"/>
      <c r="Q103" s="819"/>
      <c r="R103" s="819"/>
      <c r="T103" s="865"/>
    </row>
    <row r="104" spans="1:18" s="821" customFormat="1" ht="45">
      <c r="A104" s="839">
        <v>1</v>
      </c>
      <c r="B104" s="831" t="s">
        <v>1295</v>
      </c>
      <c r="C104" s="532" t="s">
        <v>196</v>
      </c>
      <c r="D104" s="872">
        <v>0</v>
      </c>
      <c r="E104" s="872">
        <v>0</v>
      </c>
      <c r="F104" s="872">
        <f aca="true" t="shared" si="29" ref="F104:F109">SUM(G104:P104)</f>
        <v>58</v>
      </c>
      <c r="G104" s="872">
        <v>0</v>
      </c>
      <c r="H104" s="872">
        <v>0</v>
      </c>
      <c r="I104" s="872">
        <v>19</v>
      </c>
      <c r="J104" s="872">
        <v>0</v>
      </c>
      <c r="K104" s="872">
        <v>0</v>
      </c>
      <c r="L104" s="872">
        <v>0</v>
      </c>
      <c r="M104" s="872">
        <v>0</v>
      </c>
      <c r="N104" s="872">
        <v>0</v>
      </c>
      <c r="O104" s="872">
        <v>20</v>
      </c>
      <c r="P104" s="872">
        <v>19</v>
      </c>
      <c r="Q104" s="819"/>
      <c r="R104" s="819"/>
    </row>
    <row r="105" spans="1:18" s="821" customFormat="1" ht="30">
      <c r="A105" s="839">
        <v>2</v>
      </c>
      <c r="B105" s="831" t="s">
        <v>1296</v>
      </c>
      <c r="C105" s="532" t="s">
        <v>196</v>
      </c>
      <c r="D105" s="872">
        <v>96</v>
      </c>
      <c r="E105" s="872">
        <v>117</v>
      </c>
      <c r="F105" s="872">
        <f t="shared" si="29"/>
        <v>170</v>
      </c>
      <c r="G105" s="872">
        <f>G81*2</f>
        <v>36</v>
      </c>
      <c r="H105" s="872">
        <f>H81*2</f>
        <v>70</v>
      </c>
      <c r="I105" s="872">
        <v>6</v>
      </c>
      <c r="J105" s="872">
        <v>3</v>
      </c>
      <c r="K105" s="872">
        <v>6</v>
      </c>
      <c r="L105" s="872">
        <v>9</v>
      </c>
      <c r="M105" s="872">
        <v>7</v>
      </c>
      <c r="N105" s="872">
        <v>10</v>
      </c>
      <c r="O105" s="872">
        <f>O82</f>
        <v>18</v>
      </c>
      <c r="P105" s="872">
        <v>5</v>
      </c>
      <c r="Q105" s="836">
        <f t="shared" si="23"/>
        <v>121.875</v>
      </c>
      <c r="R105" s="836">
        <f t="shared" si="23"/>
        <v>145.2991452991453</v>
      </c>
    </row>
    <row r="106" spans="1:20" s="821" customFormat="1" ht="30">
      <c r="A106" s="839">
        <v>3</v>
      </c>
      <c r="B106" s="831" t="s">
        <v>1297</v>
      </c>
      <c r="C106" s="532" t="s">
        <v>1298</v>
      </c>
      <c r="D106" s="872">
        <f>723-176</f>
        <v>547</v>
      </c>
      <c r="E106" s="872">
        <v>716</v>
      </c>
      <c r="F106" s="872">
        <f t="shared" si="29"/>
        <v>726</v>
      </c>
      <c r="G106" s="872">
        <v>6</v>
      </c>
      <c r="H106" s="872">
        <v>112</v>
      </c>
      <c r="I106" s="872">
        <v>92</v>
      </c>
      <c r="J106" s="872">
        <v>8</v>
      </c>
      <c r="K106" s="872">
        <v>108</v>
      </c>
      <c r="L106" s="872">
        <v>61</v>
      </c>
      <c r="M106" s="872">
        <v>123</v>
      </c>
      <c r="N106" s="872">
        <v>57</v>
      </c>
      <c r="O106" s="872">
        <v>91</v>
      </c>
      <c r="P106" s="872">
        <v>68</v>
      </c>
      <c r="Q106" s="836">
        <f t="shared" si="23"/>
        <v>130.89579524680073</v>
      </c>
      <c r="R106" s="836">
        <f t="shared" si="23"/>
        <v>101.39664804469272</v>
      </c>
      <c r="T106" s="865"/>
    </row>
    <row r="107" spans="1:18" s="821" customFormat="1" ht="30">
      <c r="A107" s="839">
        <v>4</v>
      </c>
      <c r="B107" s="831" t="s">
        <v>1299</v>
      </c>
      <c r="C107" s="532" t="s">
        <v>1298</v>
      </c>
      <c r="D107" s="872">
        <f>900-176</f>
        <v>724</v>
      </c>
      <c r="E107" s="872">
        <v>736</v>
      </c>
      <c r="F107" s="872">
        <f t="shared" si="29"/>
        <v>762</v>
      </c>
      <c r="G107" s="872">
        <v>6</v>
      </c>
      <c r="H107" s="872">
        <f>150-H81</f>
        <v>115</v>
      </c>
      <c r="I107" s="872">
        <v>109</v>
      </c>
      <c r="J107" s="872">
        <v>10</v>
      </c>
      <c r="K107" s="872">
        <v>132</v>
      </c>
      <c r="L107" s="872">
        <f>73-L81</f>
        <v>61</v>
      </c>
      <c r="M107" s="872">
        <v>121</v>
      </c>
      <c r="N107" s="872">
        <v>50</v>
      </c>
      <c r="O107" s="872">
        <v>100</v>
      </c>
      <c r="P107" s="872">
        <v>58</v>
      </c>
      <c r="Q107" s="836">
        <f t="shared" si="23"/>
        <v>101.65745856353593</v>
      </c>
      <c r="R107" s="836">
        <f t="shared" si="23"/>
        <v>103.53260869565217</v>
      </c>
    </row>
    <row r="108" spans="1:18" s="821" customFormat="1" ht="30">
      <c r="A108" s="839">
        <v>5</v>
      </c>
      <c r="B108" s="831" t="s">
        <v>1300</v>
      </c>
      <c r="C108" s="532" t="s">
        <v>1298</v>
      </c>
      <c r="D108" s="872">
        <v>1783</v>
      </c>
      <c r="E108" s="872">
        <v>2035</v>
      </c>
      <c r="F108" s="872">
        <f t="shared" si="29"/>
        <v>0</v>
      </c>
      <c r="G108" s="872">
        <f>G4</f>
        <v>0</v>
      </c>
      <c r="H108" s="872">
        <f aca="true" t="shared" si="30" ref="H108:P108">H4</f>
        <v>0</v>
      </c>
      <c r="I108" s="872">
        <f t="shared" si="30"/>
        <v>0</v>
      </c>
      <c r="J108" s="872">
        <f t="shared" si="30"/>
        <v>0</v>
      </c>
      <c r="K108" s="872">
        <f t="shared" si="30"/>
        <v>0</v>
      </c>
      <c r="L108" s="872">
        <f t="shared" si="30"/>
        <v>0</v>
      </c>
      <c r="M108" s="872">
        <f t="shared" si="30"/>
        <v>0</v>
      </c>
      <c r="N108" s="872">
        <f t="shared" si="30"/>
        <v>0</v>
      </c>
      <c r="O108" s="872">
        <f t="shared" si="30"/>
        <v>0</v>
      </c>
      <c r="P108" s="872">
        <f t="shared" si="30"/>
        <v>0</v>
      </c>
      <c r="Q108" s="836">
        <f t="shared" si="23"/>
        <v>114.13348289399887</v>
      </c>
      <c r="R108" s="836">
        <f t="shared" si="23"/>
        <v>0</v>
      </c>
    </row>
    <row r="109" spans="1:18" s="821" customFormat="1" ht="33.75" customHeight="1">
      <c r="A109" s="839">
        <v>6</v>
      </c>
      <c r="B109" s="831" t="s">
        <v>1301</v>
      </c>
      <c r="C109" s="532" t="s">
        <v>1298</v>
      </c>
      <c r="D109" s="872">
        <v>410</v>
      </c>
      <c r="E109" s="872">
        <v>414</v>
      </c>
      <c r="F109" s="872">
        <f t="shared" si="29"/>
        <v>436</v>
      </c>
      <c r="G109" s="872">
        <v>8</v>
      </c>
      <c r="H109" s="872">
        <v>117</v>
      </c>
      <c r="I109" s="872">
        <v>112</v>
      </c>
      <c r="J109" s="872">
        <v>8</v>
      </c>
      <c r="K109" s="872">
        <v>117</v>
      </c>
      <c r="L109" s="872">
        <v>1</v>
      </c>
      <c r="M109" s="872">
        <v>0</v>
      </c>
      <c r="N109" s="872">
        <v>0</v>
      </c>
      <c r="O109" s="872">
        <v>45</v>
      </c>
      <c r="P109" s="872">
        <v>28</v>
      </c>
      <c r="Q109" s="836">
        <f t="shared" si="23"/>
        <v>100.97560975609755</v>
      </c>
      <c r="R109" s="836">
        <f t="shared" si="23"/>
        <v>105.31400966183575</v>
      </c>
    </row>
    <row r="110" spans="1:18" s="1584" customFormat="1" ht="28.5">
      <c r="A110" s="1580" t="s">
        <v>151</v>
      </c>
      <c r="B110" s="1581" t="s">
        <v>1353</v>
      </c>
      <c r="C110" s="1582"/>
      <c r="D110" s="1583"/>
      <c r="E110" s="1583"/>
      <c r="F110" s="1583"/>
      <c r="G110" s="1583"/>
      <c r="H110" s="1583"/>
      <c r="I110" s="1583"/>
      <c r="J110" s="1583"/>
      <c r="K110" s="1583"/>
      <c r="L110" s="1583"/>
      <c r="M110" s="1583"/>
      <c r="N110" s="1583"/>
      <c r="O110" s="1583"/>
      <c r="P110" s="1583"/>
      <c r="Q110" s="836"/>
      <c r="R110" s="836"/>
    </row>
    <row r="111" spans="1:18" s="1590" customFormat="1" ht="30">
      <c r="A111" s="1585">
        <v>1</v>
      </c>
      <c r="B111" s="1586" t="s">
        <v>1354</v>
      </c>
      <c r="C111" s="1587" t="s">
        <v>21</v>
      </c>
      <c r="D111" s="1588">
        <v>99.1</v>
      </c>
      <c r="E111" s="1588">
        <v>99.3</v>
      </c>
      <c r="F111" s="1588" t="s">
        <v>1355</v>
      </c>
      <c r="G111" s="1588" t="s">
        <v>1355</v>
      </c>
      <c r="H111" s="1588" t="s">
        <v>1356</v>
      </c>
      <c r="I111" s="1588" t="s">
        <v>1357</v>
      </c>
      <c r="J111" s="1588" t="s">
        <v>1355</v>
      </c>
      <c r="K111" s="1588" t="s">
        <v>1358</v>
      </c>
      <c r="L111" s="1588" t="s">
        <v>1359</v>
      </c>
      <c r="M111" s="1588" t="s">
        <v>1360</v>
      </c>
      <c r="N111" s="1588" t="s">
        <v>1361</v>
      </c>
      <c r="O111" s="1588" t="s">
        <v>1355</v>
      </c>
      <c r="P111" s="1588" t="s">
        <v>1362</v>
      </c>
      <c r="Q111" s="1589">
        <f>E111-D111</f>
        <v>0.20000000000000284</v>
      </c>
      <c r="R111" s="1589">
        <f>F111-E111</f>
        <v>0.20000000000000284</v>
      </c>
    </row>
    <row r="112" spans="1:18" s="1590" customFormat="1" ht="30">
      <c r="A112" s="1585">
        <v>2</v>
      </c>
      <c r="B112" s="1586" t="s">
        <v>1363</v>
      </c>
      <c r="C112" s="1587" t="s">
        <v>806</v>
      </c>
      <c r="D112" s="1588">
        <v>97.9</v>
      </c>
      <c r="E112" s="1588" t="s">
        <v>1364</v>
      </c>
      <c r="F112" s="1588" t="s">
        <v>1365</v>
      </c>
      <c r="G112" s="1588" t="s">
        <v>1366</v>
      </c>
      <c r="H112" s="1588" t="s">
        <v>1367</v>
      </c>
      <c r="I112" s="1588" t="s">
        <v>1368</v>
      </c>
      <c r="J112" s="1588" t="s">
        <v>1369</v>
      </c>
      <c r="K112" s="1588" t="s">
        <v>1370</v>
      </c>
      <c r="L112" s="1588" t="s">
        <v>1371</v>
      </c>
      <c r="M112" s="1588" t="s">
        <v>1372</v>
      </c>
      <c r="N112" s="1588" t="s">
        <v>1373</v>
      </c>
      <c r="O112" s="1588" t="s">
        <v>1374</v>
      </c>
      <c r="P112" s="1588" t="s">
        <v>1375</v>
      </c>
      <c r="Q112" s="1589">
        <f aca="true" t="shared" si="31" ref="Q112:R115">E112-D112</f>
        <v>0.04999999999999716</v>
      </c>
      <c r="R112" s="1589">
        <f t="shared" si="31"/>
        <v>0.06999999999999318</v>
      </c>
    </row>
    <row r="113" spans="1:18" s="1590" customFormat="1" ht="30">
      <c r="A113" s="1585">
        <v>3</v>
      </c>
      <c r="B113" s="1586" t="s">
        <v>1376</v>
      </c>
      <c r="C113" s="1587" t="s">
        <v>806</v>
      </c>
      <c r="D113" s="1588">
        <v>93.34</v>
      </c>
      <c r="E113" s="1588">
        <v>94.6</v>
      </c>
      <c r="F113" s="1588">
        <v>94.8</v>
      </c>
      <c r="G113" s="1588">
        <v>100</v>
      </c>
      <c r="H113" s="1588">
        <v>98.7</v>
      </c>
      <c r="I113" s="1588">
        <v>93.1</v>
      </c>
      <c r="J113" s="1588">
        <v>97.5</v>
      </c>
      <c r="K113" s="1588">
        <v>93.9</v>
      </c>
      <c r="L113" s="1588">
        <v>96.2</v>
      </c>
      <c r="M113" s="1588">
        <v>92.5</v>
      </c>
      <c r="N113" s="1588">
        <v>97.2</v>
      </c>
      <c r="O113" s="1588">
        <v>93.1</v>
      </c>
      <c r="P113" s="1588">
        <v>86.5</v>
      </c>
      <c r="Q113" s="1589">
        <f t="shared" si="31"/>
        <v>1.259999999999991</v>
      </c>
      <c r="R113" s="1589">
        <f t="shared" si="31"/>
        <v>0.20000000000000284</v>
      </c>
    </row>
    <row r="114" spans="1:18" s="1590" customFormat="1" ht="30">
      <c r="A114" s="1585">
        <v>4</v>
      </c>
      <c r="B114" s="1586" t="s">
        <v>1377</v>
      </c>
      <c r="C114" s="1587" t="s">
        <v>806</v>
      </c>
      <c r="D114" s="1588">
        <v>90.7</v>
      </c>
      <c r="E114" s="1588">
        <v>90.7</v>
      </c>
      <c r="F114" s="1588">
        <v>90.8</v>
      </c>
      <c r="G114" s="1588">
        <v>96.9</v>
      </c>
      <c r="H114" s="1588">
        <v>87.8</v>
      </c>
      <c r="I114" s="1588">
        <v>94</v>
      </c>
      <c r="J114" s="1588">
        <v>90.5</v>
      </c>
      <c r="K114" s="1588">
        <v>94.3</v>
      </c>
      <c r="L114" s="1588">
        <v>89.1</v>
      </c>
      <c r="M114" s="1588">
        <v>80.8</v>
      </c>
      <c r="N114" s="1588">
        <v>88</v>
      </c>
      <c r="O114" s="1588">
        <v>94.5</v>
      </c>
      <c r="P114" s="1588">
        <v>95.4</v>
      </c>
      <c r="Q114" s="1589">
        <f t="shared" si="31"/>
        <v>0</v>
      </c>
      <c r="R114" s="1589">
        <f t="shared" si="31"/>
        <v>0.09999999999999432</v>
      </c>
    </row>
    <row r="115" spans="1:18" s="1590" customFormat="1" ht="30.75" customHeight="1">
      <c r="A115" s="1585">
        <v>5</v>
      </c>
      <c r="B115" s="1586" t="s">
        <v>1378</v>
      </c>
      <c r="C115" s="1587" t="s">
        <v>806</v>
      </c>
      <c r="D115" s="1588">
        <v>45.5</v>
      </c>
      <c r="E115" s="1588">
        <v>45.7</v>
      </c>
      <c r="F115" s="1588">
        <v>46</v>
      </c>
      <c r="G115" s="1588">
        <v>46.48772998916242</v>
      </c>
      <c r="H115" s="1588">
        <v>46.3</v>
      </c>
      <c r="I115" s="1588">
        <v>44.91424218295795</v>
      </c>
      <c r="J115" s="1588">
        <v>45.81757852882704</v>
      </c>
      <c r="K115" s="1588">
        <v>46.34865177065767</v>
      </c>
      <c r="L115" s="1588">
        <v>45.633063951120164</v>
      </c>
      <c r="M115" s="1588">
        <v>46.07041554865132</v>
      </c>
      <c r="N115" s="1588">
        <v>46.09051741248647</v>
      </c>
      <c r="O115" s="1588">
        <v>46.59802466843501</v>
      </c>
      <c r="P115" s="1588">
        <v>44.981483828062544</v>
      </c>
      <c r="Q115" s="1589">
        <f t="shared" si="31"/>
        <v>0.20000000000000284</v>
      </c>
      <c r="R115" s="1589">
        <f t="shared" si="31"/>
        <v>0.29999999999999716</v>
      </c>
    </row>
    <row r="116" spans="1:20" s="406" customFormat="1" ht="27" customHeight="1">
      <c r="A116" s="534"/>
      <c r="B116" s="535"/>
      <c r="C116" s="1017"/>
      <c r="D116" s="536"/>
      <c r="E116" s="536"/>
      <c r="F116" s="536"/>
      <c r="G116" s="536"/>
      <c r="H116" s="537"/>
      <c r="I116" s="537"/>
      <c r="J116" s="537"/>
      <c r="K116" s="537"/>
      <c r="L116" s="537"/>
      <c r="M116" s="537"/>
      <c r="N116" s="537"/>
      <c r="O116" s="537"/>
      <c r="P116" s="537"/>
      <c r="Q116" s="538"/>
      <c r="R116" s="539"/>
      <c r="T116" s="533"/>
    </row>
    <row r="117" spans="1:20" s="406" customFormat="1" ht="27" customHeight="1">
      <c r="A117" s="534"/>
      <c r="B117" s="535"/>
      <c r="C117" s="1017"/>
      <c r="D117" s="536"/>
      <c r="E117" s="536"/>
      <c r="F117" s="536"/>
      <c r="G117" s="536"/>
      <c r="H117" s="537"/>
      <c r="I117" s="537"/>
      <c r="J117" s="537"/>
      <c r="K117" s="537"/>
      <c r="L117" s="537"/>
      <c r="M117" s="537"/>
      <c r="N117" s="537"/>
      <c r="O117" s="537"/>
      <c r="P117" s="537"/>
      <c r="Q117" s="538"/>
      <c r="R117" s="539"/>
      <c r="T117" s="533"/>
    </row>
    <row r="118" spans="1:20" s="406" customFormat="1" ht="27" customHeight="1">
      <c r="A118" s="534"/>
      <c r="B118" s="535"/>
      <c r="C118" s="1017"/>
      <c r="D118" s="536"/>
      <c r="E118" s="536"/>
      <c r="F118" s="536"/>
      <c r="G118" s="536"/>
      <c r="H118" s="537"/>
      <c r="I118" s="537"/>
      <c r="J118" s="537"/>
      <c r="K118" s="537"/>
      <c r="L118" s="537"/>
      <c r="M118" s="537"/>
      <c r="N118" s="537"/>
      <c r="O118" s="537"/>
      <c r="P118" s="537"/>
      <c r="Q118" s="538"/>
      <c r="R118" s="539"/>
      <c r="T118" s="533"/>
    </row>
    <row r="119" spans="1:16" ht="15.75">
      <c r="A119" s="405"/>
      <c r="D119" s="540"/>
      <c r="F119" s="420"/>
      <c r="G119" s="421"/>
      <c r="H119" s="421"/>
      <c r="I119" s="421"/>
      <c r="J119" s="421"/>
      <c r="K119" s="421"/>
      <c r="L119" s="421"/>
      <c r="M119" s="421"/>
      <c r="N119" s="421"/>
      <c r="O119" s="421"/>
      <c r="P119" s="421"/>
    </row>
    <row r="120" spans="1:16" ht="15.75">
      <c r="A120" s="405"/>
      <c r="F120" s="422"/>
      <c r="G120" s="423"/>
      <c r="H120" s="424"/>
      <c r="I120" s="424"/>
      <c r="J120" s="424"/>
      <c r="K120" s="424"/>
      <c r="L120" s="424"/>
      <c r="M120" s="424"/>
      <c r="N120" s="424"/>
      <c r="O120" s="424"/>
      <c r="P120" s="424"/>
    </row>
    <row r="121" ht="15.75">
      <c r="A121" s="405"/>
    </row>
  </sheetData>
  <sheetProtection/>
  <mergeCells count="10">
    <mergeCell ref="A2:R2"/>
    <mergeCell ref="A3:R3"/>
    <mergeCell ref="A5:A6"/>
    <mergeCell ref="B5:B6"/>
    <mergeCell ref="C5:C6"/>
    <mergeCell ref="D5:D6"/>
    <mergeCell ref="E5:E6"/>
    <mergeCell ref="F5:F6"/>
    <mergeCell ref="G5:P5"/>
    <mergeCell ref="Q5:R5"/>
  </mergeCells>
  <printOptions/>
  <pageMargins left="0.35433070866141736" right="0" top="0.4724409448818898" bottom="0.35433070866141736" header="0.31496062992125984" footer="0.1968503937007874"/>
  <pageSetup horizontalDpi="600" verticalDpi="600" orientation="landscape" paperSize="9" scale="85" r:id="rId3"/>
  <headerFooter>
    <oddFooter>&amp;R&amp;P/&amp;N</oddFooter>
  </headerFooter>
  <legacyDrawing r:id="rId2"/>
</worksheet>
</file>

<file path=xl/worksheets/sheet9.xml><?xml version="1.0" encoding="utf-8"?>
<worksheet xmlns="http://schemas.openxmlformats.org/spreadsheetml/2006/main" xmlns:r="http://schemas.openxmlformats.org/officeDocument/2006/relationships">
  <sheetPr>
    <tabColor rgb="FFFF0000"/>
  </sheetPr>
  <dimension ref="A1:U142"/>
  <sheetViews>
    <sheetView view="pageBreakPreview" zoomScale="120" zoomScaleSheetLayoutView="120" zoomScalePageLayoutView="0" workbookViewId="0" topLeftCell="A1">
      <pane xSplit="2" ySplit="6" topLeftCell="J7" activePane="bottomRight" state="frozen"/>
      <selection pane="topLeft" activeCell="O21" sqref="O21"/>
      <selection pane="topRight" activeCell="O21" sqref="O21"/>
      <selection pane="bottomLeft" activeCell="O21" sqref="O21"/>
      <selection pane="bottomRight" activeCell="A3" sqref="A3:R3"/>
    </sheetView>
  </sheetViews>
  <sheetFormatPr defaultColWidth="8.625" defaultRowHeight="15.75"/>
  <cols>
    <col min="1" max="1" width="4.50390625" style="426" customWidth="1"/>
    <col min="2" max="2" width="31.875" style="426" customWidth="1"/>
    <col min="3" max="3" width="7.375" style="426" customWidth="1"/>
    <col min="4" max="6" width="7.125" style="426" customWidth="1"/>
    <col min="7" max="8" width="6.75390625" style="426" customWidth="1"/>
    <col min="9" max="9" width="7.875" style="426" customWidth="1"/>
    <col min="10" max="16" width="6.75390625" style="426" customWidth="1"/>
    <col min="17" max="18" width="6.375" style="426" customWidth="1"/>
    <col min="19" max="19" width="0.12890625" style="426" customWidth="1"/>
    <col min="20" max="20" width="9.00390625" style="426" hidden="1" customWidth="1"/>
    <col min="21" max="16384" width="8.625" style="426" customWidth="1"/>
  </cols>
  <sheetData>
    <row r="1" ht="15">
      <c r="A1" s="425" t="s">
        <v>819</v>
      </c>
    </row>
    <row r="2" spans="1:18" s="427" customFormat="1" ht="16.5">
      <c r="A2" s="1362" t="s">
        <v>1181</v>
      </c>
      <c r="B2" s="1362"/>
      <c r="C2" s="1362"/>
      <c r="D2" s="1362"/>
      <c r="E2" s="1362"/>
      <c r="F2" s="1362"/>
      <c r="G2" s="1362"/>
      <c r="H2" s="1362"/>
      <c r="I2" s="1362"/>
      <c r="J2" s="1362"/>
      <c r="K2" s="1362"/>
      <c r="L2" s="1362"/>
      <c r="M2" s="1362"/>
      <c r="N2" s="1362"/>
      <c r="O2" s="1362"/>
      <c r="P2" s="1362"/>
      <c r="Q2" s="1362"/>
      <c r="R2" s="1362"/>
    </row>
    <row r="3" spans="1:18" s="427" customFormat="1" ht="15.75">
      <c r="A3" s="1363" t="s">
        <v>1276</v>
      </c>
      <c r="B3" s="1363"/>
      <c r="C3" s="1363"/>
      <c r="D3" s="1363"/>
      <c r="E3" s="1363"/>
      <c r="F3" s="1363"/>
      <c r="G3" s="1363"/>
      <c r="H3" s="1363"/>
      <c r="I3" s="1363"/>
      <c r="J3" s="1363"/>
      <c r="K3" s="1363"/>
      <c r="L3" s="1363"/>
      <c r="M3" s="1363"/>
      <c r="N3" s="1363"/>
      <c r="O3" s="1363"/>
      <c r="P3" s="1363"/>
      <c r="Q3" s="1363"/>
      <c r="R3" s="1363"/>
    </row>
    <row r="5" spans="1:18" ht="18.75" customHeight="1">
      <c r="A5" s="1364" t="s">
        <v>655</v>
      </c>
      <c r="B5" s="1364" t="s">
        <v>820</v>
      </c>
      <c r="C5" s="1364" t="s">
        <v>821</v>
      </c>
      <c r="D5" s="1343" t="s">
        <v>1180</v>
      </c>
      <c r="E5" s="1343" t="s">
        <v>1177</v>
      </c>
      <c r="F5" s="1343" t="s">
        <v>470</v>
      </c>
      <c r="G5" s="1359" t="s">
        <v>822</v>
      </c>
      <c r="H5" s="1359"/>
      <c r="I5" s="1359"/>
      <c r="J5" s="1359"/>
      <c r="K5" s="1359"/>
      <c r="L5" s="1359"/>
      <c r="M5" s="1359"/>
      <c r="N5" s="1359"/>
      <c r="O5" s="1359"/>
      <c r="P5" s="1359"/>
      <c r="Q5" s="1360" t="s">
        <v>527</v>
      </c>
      <c r="R5" s="1360"/>
    </row>
    <row r="6" spans="1:18" ht="49.5" customHeight="1">
      <c r="A6" s="1365"/>
      <c r="B6" s="1365"/>
      <c r="C6" s="1365"/>
      <c r="D6" s="1343"/>
      <c r="E6" s="1343"/>
      <c r="F6" s="1343"/>
      <c r="G6" s="428" t="s">
        <v>1277</v>
      </c>
      <c r="H6" s="428" t="s">
        <v>593</v>
      </c>
      <c r="I6" s="428" t="s">
        <v>530</v>
      </c>
      <c r="J6" s="428" t="s">
        <v>726</v>
      </c>
      <c r="K6" s="428" t="s">
        <v>823</v>
      </c>
      <c r="L6" s="428" t="s">
        <v>824</v>
      </c>
      <c r="M6" s="428" t="s">
        <v>825</v>
      </c>
      <c r="N6" s="428" t="s">
        <v>598</v>
      </c>
      <c r="O6" s="428" t="s">
        <v>599</v>
      </c>
      <c r="P6" s="428" t="s">
        <v>826</v>
      </c>
      <c r="Q6" s="429" t="s">
        <v>602</v>
      </c>
      <c r="R6" s="429" t="s">
        <v>1178</v>
      </c>
    </row>
    <row r="7" spans="1:18" ht="15">
      <c r="A7" s="430" t="s">
        <v>48</v>
      </c>
      <c r="B7" s="431" t="s">
        <v>828</v>
      </c>
      <c r="C7" s="1027"/>
      <c r="D7" s="432"/>
      <c r="E7" s="432"/>
      <c r="F7" s="432"/>
      <c r="G7" s="433"/>
      <c r="H7" s="433"/>
      <c r="I7" s="434"/>
      <c r="J7" s="434"/>
      <c r="K7" s="434"/>
      <c r="L7" s="434"/>
      <c r="M7" s="434"/>
      <c r="N7" s="434"/>
      <c r="O7" s="434"/>
      <c r="P7" s="434"/>
      <c r="Q7" s="434"/>
      <c r="R7" s="434"/>
    </row>
    <row r="8" spans="1:19" ht="15">
      <c r="A8" s="435">
        <v>1</v>
      </c>
      <c r="B8" s="436" t="s">
        <v>829</v>
      </c>
      <c r="C8" s="437" t="s">
        <v>21</v>
      </c>
      <c r="D8" s="541">
        <v>93.2</v>
      </c>
      <c r="E8" s="541">
        <v>95</v>
      </c>
      <c r="F8" s="541">
        <v>95</v>
      </c>
      <c r="G8" s="542">
        <v>99.1</v>
      </c>
      <c r="H8" s="542">
        <v>99</v>
      </c>
      <c r="I8" s="543">
        <v>96.7</v>
      </c>
      <c r="J8" s="543">
        <v>95</v>
      </c>
      <c r="K8" s="543">
        <v>94.5</v>
      </c>
      <c r="L8" s="543">
        <v>94.5</v>
      </c>
      <c r="M8" s="543">
        <v>94.5</v>
      </c>
      <c r="N8" s="543">
        <v>94.5</v>
      </c>
      <c r="O8" s="543">
        <v>93</v>
      </c>
      <c r="P8" s="543">
        <v>93</v>
      </c>
      <c r="Q8" s="543">
        <f>E8-D8</f>
        <v>1.7999999999999972</v>
      </c>
      <c r="R8" s="543">
        <f>F8-E8</f>
        <v>0</v>
      </c>
      <c r="S8" s="1361" t="s">
        <v>830</v>
      </c>
    </row>
    <row r="9" spans="1:19" ht="25.5">
      <c r="A9" s="435">
        <v>2</v>
      </c>
      <c r="B9" s="436" t="s">
        <v>831</v>
      </c>
      <c r="C9" s="437" t="s">
        <v>21</v>
      </c>
      <c r="D9" s="544">
        <v>63.5</v>
      </c>
      <c r="E9" s="544">
        <v>69.2</v>
      </c>
      <c r="F9" s="544">
        <v>70.3</v>
      </c>
      <c r="G9" s="542">
        <v>100</v>
      </c>
      <c r="H9" s="542">
        <v>100</v>
      </c>
      <c r="I9" s="543">
        <v>67</v>
      </c>
      <c r="J9" s="543">
        <v>70</v>
      </c>
      <c r="K9" s="543">
        <v>77</v>
      </c>
      <c r="L9" s="543">
        <v>78</v>
      </c>
      <c r="M9" s="543">
        <v>62</v>
      </c>
      <c r="N9" s="543">
        <v>67</v>
      </c>
      <c r="O9" s="543">
        <v>65</v>
      </c>
      <c r="P9" s="543">
        <v>62</v>
      </c>
      <c r="Q9" s="543">
        <f>E9-D9</f>
        <v>5.700000000000003</v>
      </c>
      <c r="R9" s="543">
        <f>F9-E9</f>
        <v>1.0999999999999943</v>
      </c>
      <c r="S9" s="1361"/>
    </row>
    <row r="10" spans="1:21" s="1069" customFormat="1" ht="25.5">
      <c r="A10" s="1063"/>
      <c r="B10" s="1064" t="s">
        <v>1379</v>
      </c>
      <c r="C10" s="1065" t="s">
        <v>21</v>
      </c>
      <c r="D10" s="1066"/>
      <c r="E10" s="1066">
        <v>73</v>
      </c>
      <c r="F10" s="1066">
        <v>74</v>
      </c>
      <c r="G10" s="1067"/>
      <c r="H10" s="1067"/>
      <c r="I10" s="1068"/>
      <c r="J10" s="1068"/>
      <c r="K10" s="1068"/>
      <c r="L10" s="1068"/>
      <c r="M10" s="1068"/>
      <c r="N10" s="1068"/>
      <c r="O10" s="1068"/>
      <c r="P10" s="1068"/>
      <c r="Q10" s="1068"/>
      <c r="R10" s="1068"/>
      <c r="S10" s="1361"/>
      <c r="U10" s="1069" t="s">
        <v>1380</v>
      </c>
    </row>
    <row r="11" spans="1:19" ht="15">
      <c r="A11" s="435">
        <v>3</v>
      </c>
      <c r="B11" s="436" t="s">
        <v>832</v>
      </c>
      <c r="C11" s="437" t="s">
        <v>21</v>
      </c>
      <c r="D11" s="545">
        <v>86.9</v>
      </c>
      <c r="E11" s="545">
        <v>94.1</v>
      </c>
      <c r="F11" s="545">
        <v>94.1</v>
      </c>
      <c r="G11" s="542">
        <v>98.7</v>
      </c>
      <c r="H11" s="542">
        <v>99</v>
      </c>
      <c r="I11" s="542">
        <v>96</v>
      </c>
      <c r="J11" s="542">
        <v>94.5</v>
      </c>
      <c r="K11" s="542">
        <v>93.9</v>
      </c>
      <c r="L11" s="542">
        <v>93.9</v>
      </c>
      <c r="M11" s="542">
        <v>93.5</v>
      </c>
      <c r="N11" s="542">
        <v>94.1</v>
      </c>
      <c r="O11" s="542">
        <v>91</v>
      </c>
      <c r="P11" s="542">
        <v>91</v>
      </c>
      <c r="Q11" s="543">
        <f aca="true" t="shared" si="0" ref="Q11:R32">E11-D11</f>
        <v>7.199999999999989</v>
      </c>
      <c r="R11" s="543">
        <f t="shared" si="0"/>
        <v>0</v>
      </c>
      <c r="S11" s="1361"/>
    </row>
    <row r="12" spans="1:19" ht="15">
      <c r="A12" s="435">
        <v>4</v>
      </c>
      <c r="B12" s="438" t="s">
        <v>833</v>
      </c>
      <c r="C12" s="439" t="s">
        <v>21</v>
      </c>
      <c r="D12" s="546">
        <v>90</v>
      </c>
      <c r="E12" s="546">
        <v>82.75862068965517</v>
      </c>
      <c r="F12" s="546">
        <v>82.75862068965517</v>
      </c>
      <c r="G12" s="547"/>
      <c r="H12" s="548"/>
      <c r="I12" s="547"/>
      <c r="J12" s="547"/>
      <c r="K12" s="547"/>
      <c r="L12" s="547"/>
      <c r="M12" s="547"/>
      <c r="N12" s="547"/>
      <c r="O12" s="547"/>
      <c r="P12" s="547"/>
      <c r="Q12" s="543">
        <f t="shared" si="0"/>
        <v>-7.241379310344826</v>
      </c>
      <c r="R12" s="543">
        <f t="shared" si="0"/>
        <v>0</v>
      </c>
      <c r="S12" s="1361"/>
    </row>
    <row r="13" spans="1:19" ht="25.5">
      <c r="A13" s="435">
        <v>5</v>
      </c>
      <c r="B13" s="438" t="s">
        <v>834</v>
      </c>
      <c r="C13" s="439" t="s">
        <v>21</v>
      </c>
      <c r="D13" s="546">
        <v>100</v>
      </c>
      <c r="E13" s="546">
        <v>100</v>
      </c>
      <c r="F13" s="546">
        <v>96</v>
      </c>
      <c r="G13" s="542"/>
      <c r="H13" s="542"/>
      <c r="I13" s="543"/>
      <c r="J13" s="543"/>
      <c r="K13" s="543"/>
      <c r="L13" s="543"/>
      <c r="M13" s="543"/>
      <c r="N13" s="543"/>
      <c r="O13" s="543"/>
      <c r="P13" s="543"/>
      <c r="Q13" s="543">
        <f t="shared" si="0"/>
        <v>0</v>
      </c>
      <c r="R13" s="543">
        <f t="shared" si="0"/>
        <v>-4</v>
      </c>
      <c r="S13" s="1361"/>
    </row>
    <row r="14" spans="1:19" ht="15">
      <c r="A14" s="435">
        <v>6</v>
      </c>
      <c r="B14" s="436" t="s">
        <v>835</v>
      </c>
      <c r="C14" s="437" t="s">
        <v>836</v>
      </c>
      <c r="D14" s="544">
        <v>31.70779347613777</v>
      </c>
      <c r="E14" s="544">
        <v>30.5</v>
      </c>
      <c r="F14" s="544">
        <v>23</v>
      </c>
      <c r="G14" s="542">
        <v>9.8</v>
      </c>
      <c r="H14" s="543">
        <v>5.6</v>
      </c>
      <c r="I14" s="543">
        <v>17.7</v>
      </c>
      <c r="J14" s="543">
        <v>31</v>
      </c>
      <c r="K14" s="543">
        <v>17.8</v>
      </c>
      <c r="L14" s="543">
        <v>27.9</v>
      </c>
      <c r="M14" s="543">
        <v>21.5</v>
      </c>
      <c r="N14" s="543">
        <v>26.8</v>
      </c>
      <c r="O14" s="543">
        <v>20.7</v>
      </c>
      <c r="P14" s="543">
        <v>31.5</v>
      </c>
      <c r="Q14" s="543">
        <f t="shared" si="0"/>
        <v>-1.2077934761377698</v>
      </c>
      <c r="R14" s="543">
        <f t="shared" si="0"/>
        <v>-7.5</v>
      </c>
      <c r="S14" s="1361"/>
    </row>
    <row r="15" spans="1:19" s="592" customFormat="1" ht="25.5">
      <c r="A15" s="587"/>
      <c r="B15" s="1064" t="s">
        <v>1381</v>
      </c>
      <c r="C15" s="1065" t="s">
        <v>836</v>
      </c>
      <c r="D15" s="1070"/>
      <c r="E15" s="1066">
        <v>38.1</v>
      </c>
      <c r="F15" s="1066">
        <v>35</v>
      </c>
      <c r="G15" s="1071"/>
      <c r="H15" s="591"/>
      <c r="I15" s="591"/>
      <c r="J15" s="591"/>
      <c r="K15" s="591"/>
      <c r="L15" s="591"/>
      <c r="M15" s="591"/>
      <c r="N15" s="591"/>
      <c r="O15" s="591"/>
      <c r="P15" s="591"/>
      <c r="Q15" s="591"/>
      <c r="R15" s="591"/>
      <c r="S15" s="1361"/>
    </row>
    <row r="16" spans="1:19" ht="15">
      <c r="A16" s="435">
        <v>7</v>
      </c>
      <c r="B16" s="436" t="s">
        <v>837</v>
      </c>
      <c r="C16" s="437" t="s">
        <v>836</v>
      </c>
      <c r="D16" s="544">
        <v>37.697766781691506</v>
      </c>
      <c r="E16" s="544">
        <v>36.5</v>
      </c>
      <c r="F16" s="544">
        <v>32</v>
      </c>
      <c r="G16" s="542">
        <v>9.8</v>
      </c>
      <c r="H16" s="543">
        <v>6.7</v>
      </c>
      <c r="I16" s="543">
        <v>23.6</v>
      </c>
      <c r="J16" s="543">
        <v>43.9</v>
      </c>
      <c r="K16" s="543">
        <v>30.6</v>
      </c>
      <c r="L16" s="543">
        <v>30.2</v>
      </c>
      <c r="M16" s="543">
        <v>31.4</v>
      </c>
      <c r="N16" s="543">
        <v>32.2</v>
      </c>
      <c r="O16" s="543">
        <v>26.2</v>
      </c>
      <c r="P16" s="543">
        <v>49.4</v>
      </c>
      <c r="Q16" s="543">
        <f t="shared" si="0"/>
        <v>-1.1977667816915059</v>
      </c>
      <c r="R16" s="543">
        <f t="shared" si="0"/>
        <v>-4.5</v>
      </c>
      <c r="S16" s="1361"/>
    </row>
    <row r="17" spans="1:19" ht="25.5">
      <c r="A17" s="435"/>
      <c r="B17" s="1064" t="s">
        <v>1382</v>
      </c>
      <c r="C17" s="1065" t="s">
        <v>836</v>
      </c>
      <c r="D17" s="544"/>
      <c r="E17" s="1066">
        <v>45</v>
      </c>
      <c r="F17" s="1066">
        <v>43</v>
      </c>
      <c r="G17" s="542"/>
      <c r="H17" s="543"/>
      <c r="I17" s="543"/>
      <c r="J17" s="543"/>
      <c r="K17" s="543"/>
      <c r="L17" s="543"/>
      <c r="M17" s="543"/>
      <c r="N17" s="543"/>
      <c r="O17" s="543"/>
      <c r="P17" s="543"/>
      <c r="Q17" s="543"/>
      <c r="R17" s="543"/>
      <c r="S17" s="1361"/>
    </row>
    <row r="18" spans="1:19" ht="15">
      <c r="A18" s="435">
        <v>8</v>
      </c>
      <c r="B18" s="436" t="s">
        <v>838</v>
      </c>
      <c r="C18" s="437" t="s">
        <v>839</v>
      </c>
      <c r="D18" s="549">
        <v>52.086724396119536</v>
      </c>
      <c r="E18" s="549">
        <v>49.29577464788732</v>
      </c>
      <c r="F18" s="549">
        <v>48.275862068965516</v>
      </c>
      <c r="G18" s="550"/>
      <c r="H18" s="551"/>
      <c r="I18" s="552"/>
      <c r="J18" s="553"/>
      <c r="K18" s="553"/>
      <c r="L18" s="553"/>
      <c r="M18" s="553"/>
      <c r="N18" s="553"/>
      <c r="O18" s="553"/>
      <c r="P18" s="553"/>
      <c r="Q18" s="543">
        <f t="shared" si="0"/>
        <v>-2.790949748232215</v>
      </c>
      <c r="R18" s="543">
        <f t="shared" si="0"/>
        <v>-1.0199125789218044</v>
      </c>
      <c r="S18" s="1361"/>
    </row>
    <row r="19" spans="1:19" s="592" customFormat="1" ht="25.5">
      <c r="A19" s="587"/>
      <c r="B19" s="1064" t="s">
        <v>1383</v>
      </c>
      <c r="C19" s="1065" t="s">
        <v>839</v>
      </c>
      <c r="D19" s="1072"/>
      <c r="E19" s="1066">
        <v>76</v>
      </c>
      <c r="F19" s="1066">
        <v>70</v>
      </c>
      <c r="G19" s="1073"/>
      <c r="H19" s="1074"/>
      <c r="I19" s="1075"/>
      <c r="J19" s="580"/>
      <c r="K19" s="580"/>
      <c r="L19" s="580"/>
      <c r="M19" s="580"/>
      <c r="N19" s="580"/>
      <c r="O19" s="580"/>
      <c r="P19" s="580"/>
      <c r="Q19" s="591"/>
      <c r="R19" s="591"/>
      <c r="S19" s="1361"/>
    </row>
    <row r="20" spans="1:19" ht="15">
      <c r="A20" s="435">
        <v>9</v>
      </c>
      <c r="B20" s="436" t="s">
        <v>840</v>
      </c>
      <c r="C20" s="437" t="s">
        <v>21</v>
      </c>
      <c r="D20" s="552">
        <v>5.85</v>
      </c>
      <c r="E20" s="549">
        <v>5.140149385591519</v>
      </c>
      <c r="F20" s="549">
        <v>5</v>
      </c>
      <c r="G20" s="551">
        <v>3.3</v>
      </c>
      <c r="H20" s="542">
        <v>3.8</v>
      </c>
      <c r="I20" s="543">
        <v>3.8</v>
      </c>
      <c r="J20" s="543">
        <v>4.3</v>
      </c>
      <c r="K20" s="543">
        <v>4.7</v>
      </c>
      <c r="L20" s="543">
        <v>4.9</v>
      </c>
      <c r="M20" s="543">
        <v>4.1</v>
      </c>
      <c r="N20" s="543">
        <v>4</v>
      </c>
      <c r="O20" s="543">
        <v>4.2</v>
      </c>
      <c r="P20" s="543">
        <v>4.5</v>
      </c>
      <c r="Q20" s="543">
        <f t="shared" si="0"/>
        <v>-0.7098506144084809</v>
      </c>
      <c r="R20" s="543">
        <f t="shared" si="0"/>
        <v>-0.1401493855915188</v>
      </c>
      <c r="S20" s="1361"/>
    </row>
    <row r="21" spans="1:19" ht="25.5">
      <c r="A21" s="435">
        <v>10</v>
      </c>
      <c r="B21" s="438" t="s">
        <v>841</v>
      </c>
      <c r="C21" s="437" t="s">
        <v>21</v>
      </c>
      <c r="D21" s="554">
        <v>30.6</v>
      </c>
      <c r="E21" s="554">
        <v>37.9</v>
      </c>
      <c r="F21" s="554">
        <v>38</v>
      </c>
      <c r="G21" s="551">
        <v>42</v>
      </c>
      <c r="H21" s="542">
        <v>52</v>
      </c>
      <c r="I21" s="543">
        <v>46</v>
      </c>
      <c r="J21" s="543">
        <v>36</v>
      </c>
      <c r="K21" s="543">
        <v>30</v>
      </c>
      <c r="L21" s="543">
        <v>43</v>
      </c>
      <c r="M21" s="543">
        <v>37</v>
      </c>
      <c r="N21" s="543">
        <v>36</v>
      </c>
      <c r="O21" s="543">
        <v>36</v>
      </c>
      <c r="P21" s="543">
        <v>35</v>
      </c>
      <c r="Q21" s="543">
        <f t="shared" si="0"/>
        <v>7.299999999999997</v>
      </c>
      <c r="R21" s="543">
        <f t="shared" si="0"/>
        <v>0.10000000000000142</v>
      </c>
      <c r="S21" s="1361"/>
    </row>
    <row r="22" spans="1:19" ht="15">
      <c r="A22" s="435">
        <v>11</v>
      </c>
      <c r="B22" s="436" t="s">
        <v>842</v>
      </c>
      <c r="C22" s="437" t="s">
        <v>21</v>
      </c>
      <c r="D22" s="545">
        <v>17.55903638068842</v>
      </c>
      <c r="E22" s="545">
        <v>16.63</v>
      </c>
      <c r="F22" s="545">
        <v>16.2</v>
      </c>
      <c r="G22" s="555">
        <v>8.5</v>
      </c>
      <c r="H22" s="555">
        <v>4.7</v>
      </c>
      <c r="I22" s="555">
        <v>12.4</v>
      </c>
      <c r="J22" s="555">
        <v>17.5</v>
      </c>
      <c r="K22" s="555">
        <v>15.5</v>
      </c>
      <c r="L22" s="555">
        <v>16.4</v>
      </c>
      <c r="M22" s="555">
        <v>17.6</v>
      </c>
      <c r="N22" s="555">
        <v>17.5</v>
      </c>
      <c r="O22" s="555">
        <v>20.8</v>
      </c>
      <c r="P22" s="555">
        <v>23.1</v>
      </c>
      <c r="Q22" s="543">
        <f t="shared" si="0"/>
        <v>-0.9290363806884194</v>
      </c>
      <c r="R22" s="543">
        <f t="shared" si="0"/>
        <v>-0.4299999999999997</v>
      </c>
      <c r="S22" s="1361"/>
    </row>
    <row r="23" spans="1:19" s="1069" customFormat="1" ht="25.5">
      <c r="A23" s="1063"/>
      <c r="B23" s="1064" t="s">
        <v>1384</v>
      </c>
      <c r="C23" s="1065" t="s">
        <v>21</v>
      </c>
      <c r="D23" s="1076"/>
      <c r="E23" s="1077">
        <v>16.86</v>
      </c>
      <c r="F23" s="1077">
        <v>16.6</v>
      </c>
      <c r="G23" s="1078"/>
      <c r="H23" s="1078"/>
      <c r="I23" s="1078"/>
      <c r="J23" s="1078"/>
      <c r="K23" s="1078"/>
      <c r="L23" s="1078"/>
      <c r="M23" s="1078"/>
      <c r="N23" s="1078"/>
      <c r="O23" s="1078"/>
      <c r="P23" s="1078"/>
      <c r="Q23" s="1068"/>
      <c r="R23" s="1068"/>
      <c r="S23" s="1361"/>
    </row>
    <row r="24" spans="1:19" ht="25.5">
      <c r="A24" s="435">
        <v>12</v>
      </c>
      <c r="B24" s="436" t="s">
        <v>843</v>
      </c>
      <c r="C24" s="437" t="s">
        <v>21</v>
      </c>
      <c r="D24" s="556">
        <v>28.408852307563095</v>
      </c>
      <c r="E24" s="556">
        <v>27.41</v>
      </c>
      <c r="F24" s="556">
        <v>27</v>
      </c>
      <c r="G24" s="542">
        <v>12.1</v>
      </c>
      <c r="H24" s="542">
        <v>7.2</v>
      </c>
      <c r="I24" s="543">
        <v>21</v>
      </c>
      <c r="J24" s="543">
        <v>35.8</v>
      </c>
      <c r="K24" s="553">
        <v>31.5</v>
      </c>
      <c r="L24" s="543">
        <v>24.5</v>
      </c>
      <c r="M24" s="543">
        <v>26.1</v>
      </c>
      <c r="N24" s="543">
        <v>26.1</v>
      </c>
      <c r="O24" s="543">
        <v>32.5</v>
      </c>
      <c r="P24" s="543">
        <v>34.8</v>
      </c>
      <c r="Q24" s="543">
        <f t="shared" si="0"/>
        <v>-0.9988523075630944</v>
      </c>
      <c r="R24" s="543">
        <f t="shared" si="0"/>
        <v>-0.41000000000000014</v>
      </c>
      <c r="S24" s="1361"/>
    </row>
    <row r="25" spans="1:19" ht="25.5">
      <c r="A25" s="1079">
        <v>13</v>
      </c>
      <c r="B25" s="1064" t="s">
        <v>1385</v>
      </c>
      <c r="C25" s="1065" t="s">
        <v>21</v>
      </c>
      <c r="D25" s="556"/>
      <c r="E25" s="1066">
        <v>75.5</v>
      </c>
      <c r="F25" s="1066">
        <v>76</v>
      </c>
      <c r="G25" s="542"/>
      <c r="H25" s="542"/>
      <c r="I25" s="543"/>
      <c r="J25" s="543"/>
      <c r="K25" s="553"/>
      <c r="L25" s="543"/>
      <c r="M25" s="543"/>
      <c r="N25" s="543"/>
      <c r="O25" s="543"/>
      <c r="P25" s="543"/>
      <c r="Q25" s="543"/>
      <c r="R25" s="543"/>
      <c r="S25" s="1361"/>
    </row>
    <row r="26" spans="1:19" ht="15">
      <c r="A26" s="1079">
        <v>14</v>
      </c>
      <c r="B26" s="436" t="s">
        <v>844</v>
      </c>
      <c r="C26" s="437" t="s">
        <v>21</v>
      </c>
      <c r="D26" s="545">
        <v>100</v>
      </c>
      <c r="E26" s="545">
        <v>100</v>
      </c>
      <c r="F26" s="545">
        <v>100</v>
      </c>
      <c r="G26" s="557"/>
      <c r="H26" s="557"/>
      <c r="I26" s="558"/>
      <c r="J26" s="558"/>
      <c r="K26" s="558"/>
      <c r="L26" s="558"/>
      <c r="M26" s="558"/>
      <c r="N26" s="558"/>
      <c r="O26" s="558"/>
      <c r="P26" s="558"/>
      <c r="Q26" s="543">
        <f t="shared" si="0"/>
        <v>0</v>
      </c>
      <c r="R26" s="543">
        <f t="shared" si="0"/>
        <v>0</v>
      </c>
      <c r="S26" s="1361"/>
    </row>
    <row r="27" spans="1:18" ht="15">
      <c r="A27" s="1079">
        <v>15</v>
      </c>
      <c r="B27" s="436" t="s">
        <v>845</v>
      </c>
      <c r="C27" s="437" t="s">
        <v>21</v>
      </c>
      <c r="D27" s="559">
        <v>4.6</v>
      </c>
      <c r="E27" s="559">
        <v>4.6</v>
      </c>
      <c r="F27" s="560">
        <v>4.6</v>
      </c>
      <c r="G27" s="542"/>
      <c r="H27" s="542"/>
      <c r="I27" s="561"/>
      <c r="J27" s="553"/>
      <c r="K27" s="553"/>
      <c r="L27" s="553"/>
      <c r="M27" s="553"/>
      <c r="N27" s="553"/>
      <c r="O27" s="553"/>
      <c r="P27" s="553"/>
      <c r="Q27" s="543">
        <f t="shared" si="0"/>
        <v>0</v>
      </c>
      <c r="R27" s="543">
        <f t="shared" si="0"/>
        <v>0</v>
      </c>
    </row>
    <row r="28" spans="1:18" ht="25.5">
      <c r="A28" s="1079">
        <v>16</v>
      </c>
      <c r="B28" s="438" t="s">
        <v>846</v>
      </c>
      <c r="C28" s="437" t="s">
        <v>21</v>
      </c>
      <c r="D28" s="562">
        <v>50.4</v>
      </c>
      <c r="E28" s="562">
        <v>54.4</v>
      </c>
      <c r="F28" s="562">
        <v>58.3</v>
      </c>
      <c r="G28" s="542"/>
      <c r="H28" s="542"/>
      <c r="I28" s="553"/>
      <c r="J28" s="553"/>
      <c r="K28" s="553"/>
      <c r="L28" s="553"/>
      <c r="M28" s="553"/>
      <c r="N28" s="553"/>
      <c r="O28" s="553"/>
      <c r="P28" s="553"/>
      <c r="Q28" s="543">
        <f t="shared" si="0"/>
        <v>4</v>
      </c>
      <c r="R28" s="543">
        <f t="shared" si="0"/>
        <v>3.8999999999999986</v>
      </c>
    </row>
    <row r="29" spans="1:18" ht="25.5">
      <c r="A29" s="1079"/>
      <c r="B29" s="1064" t="s">
        <v>1386</v>
      </c>
      <c r="C29" s="1065" t="s">
        <v>21</v>
      </c>
      <c r="D29" s="562"/>
      <c r="E29" s="1066">
        <v>42</v>
      </c>
      <c r="F29" s="1066">
        <v>44</v>
      </c>
      <c r="G29" s="542"/>
      <c r="H29" s="542"/>
      <c r="I29" s="553"/>
      <c r="J29" s="553"/>
      <c r="K29" s="553"/>
      <c r="L29" s="553"/>
      <c r="M29" s="553"/>
      <c r="N29" s="553"/>
      <c r="O29" s="553"/>
      <c r="P29" s="553"/>
      <c r="Q29" s="543"/>
      <c r="R29" s="543"/>
    </row>
    <row r="30" spans="1:18" ht="15">
      <c r="A30" s="1079">
        <v>17</v>
      </c>
      <c r="B30" s="436" t="s">
        <v>847</v>
      </c>
      <c r="C30" s="437"/>
      <c r="D30" s="561"/>
      <c r="E30" s="561"/>
      <c r="F30" s="561"/>
      <c r="G30" s="563"/>
      <c r="H30" s="563"/>
      <c r="I30" s="553"/>
      <c r="J30" s="553"/>
      <c r="K30" s="553"/>
      <c r="L30" s="553"/>
      <c r="M30" s="553"/>
      <c r="N30" s="553"/>
      <c r="O30" s="553"/>
      <c r="P30" s="553"/>
      <c r="Q30" s="543"/>
      <c r="R30" s="543"/>
    </row>
    <row r="31" spans="1:18" ht="15">
      <c r="A31" s="440"/>
      <c r="B31" s="436" t="s">
        <v>848</v>
      </c>
      <c r="C31" s="437" t="s">
        <v>849</v>
      </c>
      <c r="D31" s="564">
        <v>1.2346702460345038</v>
      </c>
      <c r="E31" s="564">
        <v>0.8670650541568833</v>
      </c>
      <c r="F31" s="564">
        <v>0.8525992340248482</v>
      </c>
      <c r="G31" s="543"/>
      <c r="H31" s="565"/>
      <c r="I31" s="553"/>
      <c r="J31" s="553"/>
      <c r="K31" s="553"/>
      <c r="L31" s="553"/>
      <c r="M31" s="553"/>
      <c r="N31" s="553"/>
      <c r="O31" s="553"/>
      <c r="P31" s="553"/>
      <c r="Q31" s="564">
        <f t="shared" si="0"/>
        <v>-0.36760519187762053</v>
      </c>
      <c r="R31" s="564">
        <f t="shared" si="0"/>
        <v>-0.014465820132035123</v>
      </c>
    </row>
    <row r="32" spans="1:18" ht="15">
      <c r="A32" s="441"/>
      <c r="B32" s="436" t="s">
        <v>850</v>
      </c>
      <c r="C32" s="437" t="s">
        <v>851</v>
      </c>
      <c r="D32" s="564">
        <v>0.10053743431995245</v>
      </c>
      <c r="E32" s="564">
        <v>0.06936520433255067</v>
      </c>
      <c r="F32" s="564">
        <v>0.05115595404149089</v>
      </c>
      <c r="G32" s="566">
        <v>0.08</v>
      </c>
      <c r="H32" s="566">
        <v>0.016769238508879312</v>
      </c>
      <c r="I32" s="566">
        <v>0.17112299465240643</v>
      </c>
      <c r="J32" s="566">
        <v>0.030596478345342452</v>
      </c>
      <c r="K32" s="566">
        <v>0.011801638067363751</v>
      </c>
      <c r="L32" s="566">
        <v>0.020755069425707227</v>
      </c>
      <c r="M32" s="566">
        <v>0.018403327321579743</v>
      </c>
      <c r="N32" s="566">
        <v>0.020758516181263363</v>
      </c>
      <c r="O32" s="566">
        <v>0.022794100886690524</v>
      </c>
      <c r="P32" s="566">
        <v>0.018600844478339314</v>
      </c>
      <c r="Q32" s="564">
        <f t="shared" si="0"/>
        <v>-0.03117222998740178</v>
      </c>
      <c r="R32" s="564">
        <f t="shared" si="0"/>
        <v>-0.018209250291059777</v>
      </c>
    </row>
    <row r="33" spans="1:18" ht="15.75" customHeight="1">
      <c r="A33" s="441"/>
      <c r="B33" s="1064" t="s">
        <v>1387</v>
      </c>
      <c r="C33" s="1065" t="s">
        <v>851</v>
      </c>
      <c r="D33" s="564"/>
      <c r="E33" s="1066">
        <v>0.2</v>
      </c>
      <c r="F33" s="1077">
        <v>0.18</v>
      </c>
      <c r="G33" s="1080"/>
      <c r="H33" s="1080"/>
      <c r="I33" s="1080"/>
      <c r="J33" s="1080"/>
      <c r="K33" s="1080"/>
      <c r="L33" s="1080"/>
      <c r="M33" s="1080"/>
      <c r="N33" s="1080"/>
      <c r="O33" s="1080"/>
      <c r="P33" s="1080"/>
      <c r="Q33" s="564"/>
      <c r="R33" s="564"/>
    </row>
    <row r="34" spans="1:18" ht="15">
      <c r="A34" s="441"/>
      <c r="B34" s="436" t="s">
        <v>852</v>
      </c>
      <c r="C34" s="437" t="s">
        <v>849</v>
      </c>
      <c r="D34" s="549">
        <v>24.340641993251644</v>
      </c>
      <c r="E34" s="549">
        <v>24.3</v>
      </c>
      <c r="F34" s="549">
        <v>24.2</v>
      </c>
      <c r="G34" s="564"/>
      <c r="H34" s="564"/>
      <c r="I34" s="567"/>
      <c r="J34" s="567"/>
      <c r="K34" s="567"/>
      <c r="L34" s="567"/>
      <c r="M34" s="567"/>
      <c r="N34" s="567"/>
      <c r="O34" s="567"/>
      <c r="P34" s="567"/>
      <c r="Q34" s="543">
        <f aca="true" t="shared" si="1" ref="Q34:R46">E34-D34</f>
        <v>-0.04064199325164353</v>
      </c>
      <c r="R34" s="543">
        <f t="shared" si="1"/>
        <v>-0.10000000000000142</v>
      </c>
    </row>
    <row r="35" spans="1:18" ht="25.5">
      <c r="A35" s="441"/>
      <c r="B35" s="1064" t="s">
        <v>1388</v>
      </c>
      <c r="C35" s="437" t="s">
        <v>849</v>
      </c>
      <c r="D35" s="549"/>
      <c r="E35" s="1077">
        <v>69.54</v>
      </c>
      <c r="F35" s="1066">
        <v>69</v>
      </c>
      <c r="G35" s="564"/>
      <c r="H35" s="564"/>
      <c r="I35" s="567"/>
      <c r="J35" s="567"/>
      <c r="K35" s="567"/>
      <c r="L35" s="567"/>
      <c r="M35" s="567"/>
      <c r="N35" s="567"/>
      <c r="O35" s="567"/>
      <c r="P35" s="567"/>
      <c r="Q35" s="543"/>
      <c r="R35" s="543"/>
    </row>
    <row r="36" spans="1:18" ht="15">
      <c r="A36" s="441"/>
      <c r="B36" s="436" t="s">
        <v>853</v>
      </c>
      <c r="C36" s="437" t="s">
        <v>21</v>
      </c>
      <c r="D36" s="552">
        <v>0.59</v>
      </c>
      <c r="E36" s="561">
        <v>0.5920320189783199</v>
      </c>
      <c r="F36" s="561">
        <v>0.5920320189783199</v>
      </c>
      <c r="G36" s="553"/>
      <c r="H36" s="553"/>
      <c r="I36" s="553"/>
      <c r="J36" s="553"/>
      <c r="K36" s="553"/>
      <c r="L36" s="553"/>
      <c r="M36" s="553"/>
      <c r="N36" s="553"/>
      <c r="O36" s="553"/>
      <c r="P36" s="553"/>
      <c r="Q36" s="543">
        <f t="shared" si="1"/>
        <v>0.0020320189783199494</v>
      </c>
      <c r="R36" s="543">
        <f t="shared" si="1"/>
        <v>0</v>
      </c>
    </row>
    <row r="37" spans="1:18" ht="25.5">
      <c r="A37" s="441"/>
      <c r="B37" s="1064" t="s">
        <v>1389</v>
      </c>
      <c r="C37" s="1065" t="s">
        <v>21</v>
      </c>
      <c r="D37" s="552"/>
      <c r="E37" s="1066">
        <v>0.1</v>
      </c>
      <c r="F37" s="1066">
        <v>0.1</v>
      </c>
      <c r="G37" s="553"/>
      <c r="H37" s="553"/>
      <c r="I37" s="553"/>
      <c r="J37" s="553"/>
      <c r="K37" s="553"/>
      <c r="L37" s="553"/>
      <c r="M37" s="553"/>
      <c r="N37" s="553"/>
      <c r="O37" s="553"/>
      <c r="P37" s="553"/>
      <c r="Q37" s="543"/>
      <c r="R37" s="543"/>
    </row>
    <row r="38" spans="1:18" ht="15">
      <c r="A38" s="441"/>
      <c r="B38" s="436" t="s">
        <v>854</v>
      </c>
      <c r="C38" s="437" t="s">
        <v>849</v>
      </c>
      <c r="D38" s="561">
        <v>0.88</v>
      </c>
      <c r="E38" s="552">
        <v>0.52023903249413</v>
      </c>
      <c r="F38" s="552">
        <v>0.5115595404149089</v>
      </c>
      <c r="G38" s="564"/>
      <c r="H38" s="564"/>
      <c r="I38" s="553"/>
      <c r="J38" s="553"/>
      <c r="K38" s="553"/>
      <c r="L38" s="553"/>
      <c r="M38" s="553"/>
      <c r="N38" s="553"/>
      <c r="O38" s="553"/>
      <c r="P38" s="553"/>
      <c r="Q38" s="543">
        <f t="shared" si="1"/>
        <v>-0.35976096750587006</v>
      </c>
      <c r="R38" s="543">
        <f t="shared" si="1"/>
        <v>-0.00867949207922103</v>
      </c>
    </row>
    <row r="39" spans="1:18" ht="15">
      <c r="A39" s="441"/>
      <c r="B39" s="436" t="s">
        <v>855</v>
      </c>
      <c r="C39" s="437" t="s">
        <v>849</v>
      </c>
      <c r="D39" s="552">
        <v>1.23</v>
      </c>
      <c r="E39" s="552">
        <v>0.6936520433255067</v>
      </c>
      <c r="F39" s="552">
        <v>0.6820793872198785</v>
      </c>
      <c r="G39" s="564"/>
      <c r="H39" s="564"/>
      <c r="I39" s="553"/>
      <c r="J39" s="553"/>
      <c r="K39" s="553"/>
      <c r="L39" s="553"/>
      <c r="M39" s="553"/>
      <c r="N39" s="553"/>
      <c r="O39" s="553"/>
      <c r="P39" s="553"/>
      <c r="Q39" s="543">
        <f t="shared" si="1"/>
        <v>-0.5363479566744933</v>
      </c>
      <c r="R39" s="543">
        <f t="shared" si="1"/>
        <v>-0.011572656105628187</v>
      </c>
    </row>
    <row r="40" spans="1:18" ht="15">
      <c r="A40" s="441"/>
      <c r="B40" s="436" t="s">
        <v>856</v>
      </c>
      <c r="C40" s="437" t="s">
        <v>849</v>
      </c>
      <c r="D40" s="549">
        <v>261.6</v>
      </c>
      <c r="E40" s="543">
        <v>277.46081733020264</v>
      </c>
      <c r="F40" s="543">
        <v>292.44153727052293</v>
      </c>
      <c r="G40" s="564"/>
      <c r="H40" s="552"/>
      <c r="I40" s="553"/>
      <c r="J40" s="553"/>
      <c r="K40" s="553"/>
      <c r="L40" s="553"/>
      <c r="M40" s="553"/>
      <c r="N40" s="553"/>
      <c r="O40" s="553"/>
      <c r="P40" s="553"/>
      <c r="Q40" s="543">
        <f t="shared" si="1"/>
        <v>15.860817330202622</v>
      </c>
      <c r="R40" s="543">
        <f t="shared" si="1"/>
        <v>14.980719940320284</v>
      </c>
    </row>
    <row r="41" spans="1:18" ht="15">
      <c r="A41" s="441"/>
      <c r="B41" s="436" t="s">
        <v>857</v>
      </c>
      <c r="C41" s="437" t="s">
        <v>849</v>
      </c>
      <c r="D41" s="543">
        <v>3.7</v>
      </c>
      <c r="E41" s="543">
        <v>5.2</v>
      </c>
      <c r="F41" s="568" t="s">
        <v>1278</v>
      </c>
      <c r="G41" s="564"/>
      <c r="H41" s="552"/>
      <c r="I41" s="553"/>
      <c r="J41" s="553"/>
      <c r="K41" s="553"/>
      <c r="L41" s="553"/>
      <c r="M41" s="553"/>
      <c r="N41" s="553"/>
      <c r="O41" s="553"/>
      <c r="P41" s="553"/>
      <c r="Q41" s="543">
        <f t="shared" si="1"/>
        <v>1.5</v>
      </c>
      <c r="R41" s="543"/>
    </row>
    <row r="42" spans="1:18" ht="15">
      <c r="A42" s="442"/>
      <c r="B42" s="436" t="s">
        <v>858</v>
      </c>
      <c r="C42" s="437" t="s">
        <v>849</v>
      </c>
      <c r="D42" s="569">
        <v>1710.5</v>
      </c>
      <c r="E42" s="549">
        <v>1647.4</v>
      </c>
      <c r="F42" s="549">
        <v>1619.9</v>
      </c>
      <c r="G42" s="553"/>
      <c r="H42" s="553"/>
      <c r="I42" s="553"/>
      <c r="J42" s="553"/>
      <c r="K42" s="553"/>
      <c r="L42" s="553"/>
      <c r="M42" s="553"/>
      <c r="N42" s="553"/>
      <c r="O42" s="553"/>
      <c r="P42" s="553"/>
      <c r="Q42" s="543">
        <f t="shared" si="1"/>
        <v>-63.09999999999991</v>
      </c>
      <c r="R42" s="543">
        <f t="shared" si="1"/>
        <v>-27.5</v>
      </c>
    </row>
    <row r="43" spans="1:18" ht="15" customHeight="1" hidden="1">
      <c r="A43" s="435"/>
      <c r="B43" s="436" t="s">
        <v>859</v>
      </c>
      <c r="C43" s="443"/>
      <c r="D43" s="570"/>
      <c r="E43" s="570"/>
      <c r="F43" s="570"/>
      <c r="G43" s="543"/>
      <c r="H43" s="543"/>
      <c r="I43" s="553"/>
      <c r="J43" s="553"/>
      <c r="K43" s="553"/>
      <c r="L43" s="553"/>
      <c r="M43" s="553"/>
      <c r="N43" s="553"/>
      <c r="O43" s="553"/>
      <c r="P43" s="553"/>
      <c r="Q43" s="543">
        <f t="shared" si="1"/>
        <v>0</v>
      </c>
      <c r="R43" s="543">
        <f t="shared" si="1"/>
        <v>0</v>
      </c>
    </row>
    <row r="44" spans="1:18" ht="15" customHeight="1" hidden="1">
      <c r="A44" s="435"/>
      <c r="B44" s="436" t="s">
        <v>860</v>
      </c>
      <c r="C44" s="443"/>
      <c r="D44" s="570"/>
      <c r="E44" s="570"/>
      <c r="F44" s="570"/>
      <c r="G44" s="543"/>
      <c r="H44" s="543"/>
      <c r="I44" s="553"/>
      <c r="J44" s="553"/>
      <c r="K44" s="553"/>
      <c r="L44" s="553"/>
      <c r="M44" s="553"/>
      <c r="N44" s="553"/>
      <c r="O44" s="553"/>
      <c r="P44" s="553"/>
      <c r="Q44" s="543">
        <f t="shared" si="1"/>
        <v>0</v>
      </c>
      <c r="R44" s="543">
        <f t="shared" si="1"/>
        <v>0</v>
      </c>
    </row>
    <row r="45" spans="1:18" ht="15" customHeight="1" hidden="1">
      <c r="A45" s="435"/>
      <c r="B45" s="436" t="s">
        <v>861</v>
      </c>
      <c r="C45" s="443"/>
      <c r="D45" s="570"/>
      <c r="E45" s="570"/>
      <c r="F45" s="570"/>
      <c r="G45" s="543"/>
      <c r="H45" s="543"/>
      <c r="I45" s="553"/>
      <c r="J45" s="553"/>
      <c r="K45" s="553"/>
      <c r="L45" s="553"/>
      <c r="M45" s="553"/>
      <c r="N45" s="553"/>
      <c r="O45" s="553"/>
      <c r="P45" s="553"/>
      <c r="Q45" s="543">
        <f t="shared" si="1"/>
        <v>0</v>
      </c>
      <c r="R45" s="543">
        <f t="shared" si="1"/>
        <v>0</v>
      </c>
    </row>
    <row r="46" spans="1:18" ht="15" customHeight="1" hidden="1">
      <c r="A46" s="435"/>
      <c r="B46" s="436" t="s">
        <v>862</v>
      </c>
      <c r="C46" s="443"/>
      <c r="D46" s="549"/>
      <c r="E46" s="549"/>
      <c r="F46" s="549"/>
      <c r="G46" s="543"/>
      <c r="H46" s="543"/>
      <c r="I46" s="553"/>
      <c r="J46" s="553"/>
      <c r="K46" s="553"/>
      <c r="L46" s="553"/>
      <c r="M46" s="553"/>
      <c r="N46" s="553"/>
      <c r="O46" s="553"/>
      <c r="P46" s="553"/>
      <c r="Q46" s="543">
        <f t="shared" si="1"/>
        <v>0</v>
      </c>
      <c r="R46" s="543">
        <f t="shared" si="1"/>
        <v>0</v>
      </c>
    </row>
    <row r="47" spans="1:18" ht="15">
      <c r="A47" s="435">
        <v>17</v>
      </c>
      <c r="B47" s="436" t="s">
        <v>863</v>
      </c>
      <c r="C47" s="437" t="s">
        <v>864</v>
      </c>
      <c r="D47" s="571">
        <v>450000</v>
      </c>
      <c r="E47" s="570">
        <v>450000</v>
      </c>
      <c r="F47" s="570">
        <v>500000</v>
      </c>
      <c r="G47" s="553"/>
      <c r="H47" s="553"/>
      <c r="I47" s="553"/>
      <c r="J47" s="553"/>
      <c r="K47" s="553"/>
      <c r="L47" s="553"/>
      <c r="M47" s="553"/>
      <c r="N47" s="553"/>
      <c r="O47" s="553"/>
      <c r="P47" s="553"/>
      <c r="Q47" s="543">
        <f>E47/D47*100</f>
        <v>100</v>
      </c>
      <c r="R47" s="543">
        <f>F47/E47*100</f>
        <v>111.11111111111111</v>
      </c>
    </row>
    <row r="48" spans="1:20" s="578" customFormat="1" ht="14.25">
      <c r="A48" s="572" t="s">
        <v>91</v>
      </c>
      <c r="B48" s="573" t="s">
        <v>865</v>
      </c>
      <c r="C48" s="574"/>
      <c r="D48" s="575">
        <f>D49+D61</f>
        <v>214</v>
      </c>
      <c r="E48" s="575">
        <f aca="true" t="shared" si="2" ref="E48:P48">E49+E61</f>
        <v>208</v>
      </c>
      <c r="F48" s="575">
        <f t="shared" si="2"/>
        <v>208</v>
      </c>
      <c r="G48" s="575">
        <f t="shared" si="2"/>
        <v>8</v>
      </c>
      <c r="H48" s="575">
        <f t="shared" si="2"/>
        <v>24</v>
      </c>
      <c r="I48" s="575">
        <f t="shared" si="2"/>
        <v>33</v>
      </c>
      <c r="J48" s="575">
        <f t="shared" si="2"/>
        <v>21</v>
      </c>
      <c r="K48" s="575">
        <f t="shared" si="2"/>
        <v>28</v>
      </c>
      <c r="L48" s="575">
        <f t="shared" si="2"/>
        <v>16</v>
      </c>
      <c r="M48" s="575">
        <f t="shared" si="2"/>
        <v>19</v>
      </c>
      <c r="N48" s="575">
        <f t="shared" si="2"/>
        <v>19</v>
      </c>
      <c r="O48" s="575">
        <f t="shared" si="2"/>
        <v>18</v>
      </c>
      <c r="P48" s="575">
        <f t="shared" si="2"/>
        <v>22</v>
      </c>
      <c r="Q48" s="576">
        <f aca="true" t="shared" si="3" ref="Q48:R68">E48/D48*100</f>
        <v>97.19626168224299</v>
      </c>
      <c r="R48" s="577">
        <f t="shared" si="3"/>
        <v>100</v>
      </c>
      <c r="T48" s="579">
        <f>SUM(G48:P48)</f>
        <v>208</v>
      </c>
    </row>
    <row r="49" spans="1:20" s="578" customFormat="1" ht="14.25">
      <c r="A49" s="572"/>
      <c r="B49" s="573" t="s">
        <v>866</v>
      </c>
      <c r="C49" s="574"/>
      <c r="D49" s="575">
        <f>D50+D57+D58+D59+D60</f>
        <v>18</v>
      </c>
      <c r="E49" s="575">
        <f aca="true" t="shared" si="4" ref="E49:P49">E50+E57+E58+E59+E60</f>
        <v>12</v>
      </c>
      <c r="F49" s="575">
        <f t="shared" si="4"/>
        <v>12</v>
      </c>
      <c r="G49" s="575">
        <f t="shared" si="4"/>
        <v>1</v>
      </c>
      <c r="H49" s="575">
        <f t="shared" si="4"/>
        <v>10</v>
      </c>
      <c r="I49" s="575">
        <f t="shared" si="4"/>
        <v>0</v>
      </c>
      <c r="J49" s="575">
        <f t="shared" si="4"/>
        <v>0</v>
      </c>
      <c r="K49" s="575">
        <f t="shared" si="4"/>
        <v>1</v>
      </c>
      <c r="L49" s="575">
        <f t="shared" si="4"/>
        <v>0</v>
      </c>
      <c r="M49" s="575">
        <f t="shared" si="4"/>
        <v>0</v>
      </c>
      <c r="N49" s="575">
        <f t="shared" si="4"/>
        <v>0</v>
      </c>
      <c r="O49" s="575">
        <f t="shared" si="4"/>
        <v>0</v>
      </c>
      <c r="P49" s="575">
        <f t="shared" si="4"/>
        <v>0</v>
      </c>
      <c r="Q49" s="576">
        <f t="shared" si="3"/>
        <v>66.66666666666666</v>
      </c>
      <c r="R49" s="577">
        <f t="shared" si="3"/>
        <v>100</v>
      </c>
      <c r="T49" s="579">
        <f aca="true" t="shared" si="5" ref="T49:T112">SUM(G49:P49)</f>
        <v>12</v>
      </c>
    </row>
    <row r="50" spans="1:20" ht="15">
      <c r="A50" s="446">
        <v>1</v>
      </c>
      <c r="B50" s="447" t="s">
        <v>867</v>
      </c>
      <c r="C50" s="448" t="s">
        <v>868</v>
      </c>
      <c r="D50" s="580">
        <v>5</v>
      </c>
      <c r="E50" s="581">
        <v>5</v>
      </c>
      <c r="F50" s="580">
        <v>5</v>
      </c>
      <c r="G50" s="582">
        <v>1</v>
      </c>
      <c r="H50" s="582">
        <v>4</v>
      </c>
      <c r="I50" s="583"/>
      <c r="J50" s="583"/>
      <c r="K50" s="583"/>
      <c r="L50" s="583"/>
      <c r="M50" s="583"/>
      <c r="N50" s="583"/>
      <c r="O50" s="583"/>
      <c r="P50" s="583"/>
      <c r="Q50" s="565">
        <f t="shared" si="3"/>
        <v>100</v>
      </c>
      <c r="R50" s="565">
        <f t="shared" si="3"/>
        <v>100</v>
      </c>
      <c r="T50" s="449">
        <f t="shared" si="5"/>
        <v>5</v>
      </c>
    </row>
    <row r="51" spans="1:20" ht="15">
      <c r="A51" s="450"/>
      <c r="B51" s="447" t="s">
        <v>869</v>
      </c>
      <c r="C51" s="448" t="s">
        <v>868</v>
      </c>
      <c r="D51" s="553">
        <v>2</v>
      </c>
      <c r="E51" s="553">
        <v>2</v>
      </c>
      <c r="F51" s="553">
        <v>2</v>
      </c>
      <c r="G51" s="558">
        <v>1</v>
      </c>
      <c r="H51" s="558">
        <v>1</v>
      </c>
      <c r="I51" s="575"/>
      <c r="J51" s="584"/>
      <c r="K51" s="584"/>
      <c r="L51" s="584"/>
      <c r="M51" s="584"/>
      <c r="N51" s="584"/>
      <c r="O51" s="575"/>
      <c r="P51" s="575"/>
      <c r="Q51" s="565">
        <f t="shared" si="3"/>
        <v>100</v>
      </c>
      <c r="R51" s="565">
        <f t="shared" si="3"/>
        <v>100</v>
      </c>
      <c r="T51" s="449">
        <f t="shared" si="5"/>
        <v>2</v>
      </c>
    </row>
    <row r="52" spans="1:20" ht="15">
      <c r="A52" s="451"/>
      <c r="B52" s="447" t="s">
        <v>870</v>
      </c>
      <c r="C52" s="448" t="s">
        <v>868</v>
      </c>
      <c r="D52" s="553">
        <v>1</v>
      </c>
      <c r="E52" s="553">
        <v>1</v>
      </c>
      <c r="F52" s="553">
        <v>1</v>
      </c>
      <c r="G52" s="558"/>
      <c r="H52" s="558">
        <v>1</v>
      </c>
      <c r="I52" s="575"/>
      <c r="J52" s="584"/>
      <c r="K52" s="584"/>
      <c r="L52" s="584"/>
      <c r="M52" s="584"/>
      <c r="N52" s="584"/>
      <c r="O52" s="575"/>
      <c r="P52" s="575"/>
      <c r="Q52" s="565">
        <f t="shared" si="3"/>
        <v>100</v>
      </c>
      <c r="R52" s="565">
        <f t="shared" si="3"/>
        <v>100</v>
      </c>
      <c r="T52" s="449">
        <f t="shared" si="5"/>
        <v>1</v>
      </c>
    </row>
    <row r="53" spans="1:20" ht="15">
      <c r="A53" s="451"/>
      <c r="B53" s="447" t="s">
        <v>871</v>
      </c>
      <c r="C53" s="448" t="s">
        <v>868</v>
      </c>
      <c r="D53" s="553">
        <v>1</v>
      </c>
      <c r="E53" s="553">
        <v>1</v>
      </c>
      <c r="F53" s="553">
        <v>1</v>
      </c>
      <c r="G53" s="558"/>
      <c r="H53" s="558">
        <v>1</v>
      </c>
      <c r="I53" s="575"/>
      <c r="J53" s="584"/>
      <c r="K53" s="584"/>
      <c r="L53" s="584"/>
      <c r="M53" s="584"/>
      <c r="N53" s="584"/>
      <c r="O53" s="575"/>
      <c r="P53" s="575"/>
      <c r="Q53" s="565">
        <f t="shared" si="3"/>
        <v>100</v>
      </c>
      <c r="R53" s="565">
        <f t="shared" si="3"/>
        <v>100</v>
      </c>
      <c r="T53" s="449">
        <f t="shared" si="5"/>
        <v>1</v>
      </c>
    </row>
    <row r="54" spans="1:20" ht="15">
      <c r="A54" s="451"/>
      <c r="B54" s="447" t="s">
        <v>872</v>
      </c>
      <c r="C54" s="448" t="s">
        <v>868</v>
      </c>
      <c r="D54" s="553">
        <v>1</v>
      </c>
      <c r="E54" s="553">
        <v>1</v>
      </c>
      <c r="F54" s="553">
        <v>1</v>
      </c>
      <c r="G54" s="558"/>
      <c r="H54" s="558">
        <v>1</v>
      </c>
      <c r="I54" s="575"/>
      <c r="J54" s="584"/>
      <c r="K54" s="584"/>
      <c r="L54" s="584"/>
      <c r="M54" s="584"/>
      <c r="N54" s="584"/>
      <c r="O54" s="575"/>
      <c r="P54" s="575"/>
      <c r="Q54" s="565">
        <f t="shared" si="3"/>
        <v>100</v>
      </c>
      <c r="R54" s="565">
        <f t="shared" si="3"/>
        <v>100</v>
      </c>
      <c r="T54" s="449">
        <f t="shared" si="5"/>
        <v>1</v>
      </c>
    </row>
    <row r="55" spans="1:20" ht="15" customHeight="1" hidden="1">
      <c r="A55" s="451"/>
      <c r="B55" s="447" t="s">
        <v>873</v>
      </c>
      <c r="C55" s="448" t="s">
        <v>868</v>
      </c>
      <c r="D55" s="553"/>
      <c r="E55" s="553"/>
      <c r="F55" s="553"/>
      <c r="G55" s="553"/>
      <c r="H55" s="553"/>
      <c r="I55" s="575"/>
      <c r="J55" s="584"/>
      <c r="K55" s="584"/>
      <c r="L55" s="584"/>
      <c r="M55" s="584"/>
      <c r="N55" s="584"/>
      <c r="O55" s="575"/>
      <c r="P55" s="575"/>
      <c r="Q55" s="565" t="e">
        <f t="shared" si="3"/>
        <v>#DIV/0!</v>
      </c>
      <c r="R55" s="565" t="e">
        <f t="shared" si="3"/>
        <v>#DIV/0!</v>
      </c>
      <c r="T55" s="449">
        <f t="shared" si="5"/>
        <v>0</v>
      </c>
    </row>
    <row r="56" spans="1:20" ht="15" customHeight="1" hidden="1">
      <c r="A56" s="452"/>
      <c r="B56" s="447" t="s">
        <v>874</v>
      </c>
      <c r="C56" s="448" t="s">
        <v>868</v>
      </c>
      <c r="D56" s="553"/>
      <c r="E56" s="553"/>
      <c r="F56" s="553"/>
      <c r="G56" s="553"/>
      <c r="H56" s="553"/>
      <c r="I56" s="575"/>
      <c r="J56" s="584"/>
      <c r="K56" s="584"/>
      <c r="L56" s="584"/>
      <c r="M56" s="584"/>
      <c r="N56" s="584"/>
      <c r="O56" s="575"/>
      <c r="P56" s="575"/>
      <c r="Q56" s="565" t="e">
        <f t="shared" si="3"/>
        <v>#DIV/0!</v>
      </c>
      <c r="R56" s="565" t="e">
        <f t="shared" si="3"/>
        <v>#DIV/0!</v>
      </c>
      <c r="T56" s="449">
        <f t="shared" si="5"/>
        <v>0</v>
      </c>
    </row>
    <row r="57" spans="1:20" ht="15">
      <c r="A57" s="435">
        <v>2</v>
      </c>
      <c r="B57" s="436" t="s">
        <v>875</v>
      </c>
      <c r="C57" s="437" t="s">
        <v>876</v>
      </c>
      <c r="D57" s="553">
        <v>1</v>
      </c>
      <c r="E57" s="553">
        <v>1</v>
      </c>
      <c r="F57" s="553">
        <v>1</v>
      </c>
      <c r="G57" s="553"/>
      <c r="H57" s="553"/>
      <c r="I57" s="575"/>
      <c r="J57" s="584"/>
      <c r="K57" s="584">
        <v>1</v>
      </c>
      <c r="L57" s="584"/>
      <c r="M57" s="584"/>
      <c r="N57" s="584"/>
      <c r="O57" s="575"/>
      <c r="P57" s="575"/>
      <c r="Q57" s="565">
        <f t="shared" si="3"/>
        <v>100</v>
      </c>
      <c r="R57" s="565">
        <f t="shared" si="3"/>
        <v>100</v>
      </c>
      <c r="T57" s="449">
        <f t="shared" si="5"/>
        <v>1</v>
      </c>
    </row>
    <row r="58" spans="1:20" ht="15">
      <c r="A58" s="435">
        <v>3</v>
      </c>
      <c r="B58" s="436" t="s">
        <v>877</v>
      </c>
      <c r="C58" s="437" t="s">
        <v>878</v>
      </c>
      <c r="D58" s="553">
        <v>1</v>
      </c>
      <c r="E58" s="553">
        <v>1</v>
      </c>
      <c r="F58" s="553">
        <v>1</v>
      </c>
      <c r="G58" s="553"/>
      <c r="H58" s="553">
        <v>1</v>
      </c>
      <c r="I58" s="575"/>
      <c r="J58" s="584"/>
      <c r="K58" s="584"/>
      <c r="L58" s="584"/>
      <c r="M58" s="584"/>
      <c r="N58" s="584"/>
      <c r="O58" s="575"/>
      <c r="P58" s="575"/>
      <c r="Q58" s="565">
        <f t="shared" si="3"/>
        <v>100</v>
      </c>
      <c r="R58" s="565">
        <f t="shared" si="3"/>
        <v>100</v>
      </c>
      <c r="T58" s="449">
        <f t="shared" si="5"/>
        <v>1</v>
      </c>
    </row>
    <row r="59" spans="1:20" ht="15">
      <c r="A59" s="435">
        <v>4</v>
      </c>
      <c r="B59" s="436" t="s">
        <v>879</v>
      </c>
      <c r="C59" s="437" t="s">
        <v>878</v>
      </c>
      <c r="D59" s="553">
        <v>1</v>
      </c>
      <c r="E59" s="553">
        <v>1</v>
      </c>
      <c r="F59" s="553">
        <v>1</v>
      </c>
      <c r="G59" s="553"/>
      <c r="H59" s="553">
        <v>1</v>
      </c>
      <c r="I59" s="575"/>
      <c r="J59" s="584"/>
      <c r="K59" s="584"/>
      <c r="L59" s="584"/>
      <c r="M59" s="584"/>
      <c r="N59" s="584"/>
      <c r="O59" s="575"/>
      <c r="P59" s="575"/>
      <c r="Q59" s="565">
        <f t="shared" si="3"/>
        <v>100</v>
      </c>
      <c r="R59" s="565">
        <f t="shared" si="3"/>
        <v>100</v>
      </c>
      <c r="T59" s="449">
        <f t="shared" si="5"/>
        <v>1</v>
      </c>
    </row>
    <row r="60" spans="1:20" ht="15">
      <c r="A60" s="435">
        <v>5</v>
      </c>
      <c r="B60" s="436" t="s">
        <v>880</v>
      </c>
      <c r="C60" s="437" t="s">
        <v>2</v>
      </c>
      <c r="D60" s="553">
        <v>10</v>
      </c>
      <c r="E60" s="553">
        <v>4</v>
      </c>
      <c r="F60" s="553">
        <v>4</v>
      </c>
      <c r="G60" s="553"/>
      <c r="H60" s="553">
        <v>4</v>
      </c>
      <c r="I60" s="575"/>
      <c r="J60" s="575"/>
      <c r="K60" s="575"/>
      <c r="L60" s="575"/>
      <c r="M60" s="575"/>
      <c r="N60" s="575"/>
      <c r="O60" s="575"/>
      <c r="P60" s="575"/>
      <c r="Q60" s="565">
        <f t="shared" si="3"/>
        <v>40</v>
      </c>
      <c r="R60" s="565">
        <f t="shared" si="3"/>
        <v>100</v>
      </c>
      <c r="T60" s="449">
        <f t="shared" si="5"/>
        <v>4</v>
      </c>
    </row>
    <row r="61" spans="1:20" s="578" customFormat="1" ht="14.25">
      <c r="A61" s="572"/>
      <c r="B61" s="573" t="s">
        <v>881</v>
      </c>
      <c r="C61" s="574"/>
      <c r="D61" s="585">
        <f>SUM(D62:D68)</f>
        <v>196</v>
      </c>
      <c r="E61" s="585">
        <f aca="true" t="shared" si="6" ref="E61:P61">SUM(E62:E68)</f>
        <v>196</v>
      </c>
      <c r="F61" s="585">
        <f t="shared" si="6"/>
        <v>196</v>
      </c>
      <c r="G61" s="585">
        <f t="shared" si="6"/>
        <v>7</v>
      </c>
      <c r="H61" s="585">
        <f t="shared" si="6"/>
        <v>14</v>
      </c>
      <c r="I61" s="585">
        <f t="shared" si="6"/>
        <v>33</v>
      </c>
      <c r="J61" s="585">
        <f t="shared" si="6"/>
        <v>21</v>
      </c>
      <c r="K61" s="585">
        <f t="shared" si="6"/>
        <v>27</v>
      </c>
      <c r="L61" s="585">
        <f t="shared" si="6"/>
        <v>16</v>
      </c>
      <c r="M61" s="585">
        <f t="shared" si="6"/>
        <v>19</v>
      </c>
      <c r="N61" s="585">
        <f t="shared" si="6"/>
        <v>19</v>
      </c>
      <c r="O61" s="585">
        <f t="shared" si="6"/>
        <v>18</v>
      </c>
      <c r="P61" s="585">
        <f t="shared" si="6"/>
        <v>22</v>
      </c>
      <c r="Q61" s="577">
        <f t="shared" si="3"/>
        <v>100</v>
      </c>
      <c r="R61" s="577">
        <f t="shared" si="3"/>
        <v>100</v>
      </c>
      <c r="T61" s="579">
        <f t="shared" si="5"/>
        <v>196</v>
      </c>
    </row>
    <row r="62" spans="1:20" ht="15">
      <c r="A62" s="435">
        <v>6</v>
      </c>
      <c r="B62" s="436" t="s">
        <v>882</v>
      </c>
      <c r="C62" s="437" t="s">
        <v>868</v>
      </c>
      <c r="D62" s="553">
        <v>9</v>
      </c>
      <c r="E62" s="553">
        <v>9</v>
      </c>
      <c r="F62" s="553">
        <v>9</v>
      </c>
      <c r="G62" s="558"/>
      <c r="H62" s="558">
        <v>1</v>
      </c>
      <c r="I62" s="558">
        <v>1</v>
      </c>
      <c r="J62" s="558">
        <v>1</v>
      </c>
      <c r="K62" s="558">
        <v>1</v>
      </c>
      <c r="L62" s="558">
        <v>1</v>
      </c>
      <c r="M62" s="558">
        <v>1</v>
      </c>
      <c r="N62" s="558">
        <v>1</v>
      </c>
      <c r="O62" s="558">
        <v>1</v>
      </c>
      <c r="P62" s="558">
        <v>1</v>
      </c>
      <c r="Q62" s="565">
        <f t="shared" si="3"/>
        <v>100</v>
      </c>
      <c r="R62" s="565">
        <f t="shared" si="3"/>
        <v>100</v>
      </c>
      <c r="T62" s="449">
        <f t="shared" si="5"/>
        <v>9</v>
      </c>
    </row>
    <row r="63" spans="1:20" ht="15">
      <c r="A63" s="435">
        <v>7</v>
      </c>
      <c r="B63" s="436" t="s">
        <v>883</v>
      </c>
      <c r="C63" s="437" t="s">
        <v>884</v>
      </c>
      <c r="D63" s="553">
        <v>17</v>
      </c>
      <c r="E63" s="553">
        <v>17</v>
      </c>
      <c r="F63" s="553">
        <v>17</v>
      </c>
      <c r="G63" s="558" t="s">
        <v>539</v>
      </c>
      <c r="H63" s="558">
        <v>0</v>
      </c>
      <c r="I63" s="558">
        <v>3</v>
      </c>
      <c r="J63" s="558">
        <v>2</v>
      </c>
      <c r="K63" s="558">
        <v>3</v>
      </c>
      <c r="L63" s="558">
        <v>1</v>
      </c>
      <c r="M63" s="558">
        <v>2</v>
      </c>
      <c r="N63" s="558">
        <v>2</v>
      </c>
      <c r="O63" s="558">
        <v>2</v>
      </c>
      <c r="P63" s="558">
        <v>2</v>
      </c>
      <c r="Q63" s="565">
        <f t="shared" si="3"/>
        <v>100</v>
      </c>
      <c r="R63" s="565">
        <f t="shared" si="3"/>
        <v>100</v>
      </c>
      <c r="T63" s="449">
        <f t="shared" si="5"/>
        <v>17</v>
      </c>
    </row>
    <row r="64" spans="1:20" ht="15">
      <c r="A64" s="435">
        <v>8</v>
      </c>
      <c r="B64" s="436" t="s">
        <v>885</v>
      </c>
      <c r="C64" s="437" t="s">
        <v>886</v>
      </c>
      <c r="D64" s="553">
        <v>10</v>
      </c>
      <c r="E64" s="553">
        <v>10</v>
      </c>
      <c r="F64" s="553">
        <v>10</v>
      </c>
      <c r="G64" s="558">
        <v>1</v>
      </c>
      <c r="H64" s="558">
        <v>1</v>
      </c>
      <c r="I64" s="558">
        <v>1</v>
      </c>
      <c r="J64" s="558">
        <v>1</v>
      </c>
      <c r="K64" s="558">
        <v>1</v>
      </c>
      <c r="L64" s="558">
        <v>1</v>
      </c>
      <c r="M64" s="558">
        <v>1</v>
      </c>
      <c r="N64" s="558">
        <v>1</v>
      </c>
      <c r="O64" s="558">
        <v>1</v>
      </c>
      <c r="P64" s="558">
        <v>1</v>
      </c>
      <c r="Q64" s="565">
        <f t="shared" si="3"/>
        <v>100</v>
      </c>
      <c r="R64" s="565">
        <f t="shared" si="3"/>
        <v>100</v>
      </c>
      <c r="T64" s="449">
        <f t="shared" si="5"/>
        <v>10</v>
      </c>
    </row>
    <row r="65" spans="1:20" ht="15">
      <c r="A65" s="435">
        <v>9</v>
      </c>
      <c r="B65" s="436" t="s">
        <v>887</v>
      </c>
      <c r="C65" s="437" t="s">
        <v>886</v>
      </c>
      <c r="D65" s="553">
        <v>10</v>
      </c>
      <c r="E65" s="553">
        <v>10</v>
      </c>
      <c r="F65" s="553">
        <v>10</v>
      </c>
      <c r="G65" s="558">
        <v>1</v>
      </c>
      <c r="H65" s="558">
        <v>1</v>
      </c>
      <c r="I65" s="558">
        <v>1</v>
      </c>
      <c r="J65" s="558">
        <v>1</v>
      </c>
      <c r="K65" s="558">
        <v>1</v>
      </c>
      <c r="L65" s="558">
        <v>1</v>
      </c>
      <c r="M65" s="558">
        <v>1</v>
      </c>
      <c r="N65" s="558">
        <v>1</v>
      </c>
      <c r="O65" s="558">
        <v>1</v>
      </c>
      <c r="P65" s="558">
        <v>1</v>
      </c>
      <c r="Q65" s="565">
        <f t="shared" si="3"/>
        <v>100</v>
      </c>
      <c r="R65" s="565">
        <f t="shared" si="3"/>
        <v>100</v>
      </c>
      <c r="T65" s="449">
        <f t="shared" si="5"/>
        <v>10</v>
      </c>
    </row>
    <row r="66" spans="1:20" ht="15">
      <c r="A66" s="435">
        <v>10</v>
      </c>
      <c r="B66" s="436" t="s">
        <v>888</v>
      </c>
      <c r="C66" s="437" t="s">
        <v>2</v>
      </c>
      <c r="D66" s="553">
        <v>10</v>
      </c>
      <c r="E66" s="553">
        <v>10</v>
      </c>
      <c r="F66" s="553">
        <v>10</v>
      </c>
      <c r="G66" s="558">
        <v>1</v>
      </c>
      <c r="H66" s="558">
        <v>1</v>
      </c>
      <c r="I66" s="558">
        <v>1</v>
      </c>
      <c r="J66" s="558">
        <v>1</v>
      </c>
      <c r="K66" s="558">
        <v>1</v>
      </c>
      <c r="L66" s="558">
        <v>1</v>
      </c>
      <c r="M66" s="558">
        <v>1</v>
      </c>
      <c r="N66" s="558">
        <v>1</v>
      </c>
      <c r="O66" s="558">
        <v>1</v>
      </c>
      <c r="P66" s="558">
        <v>1</v>
      </c>
      <c r="Q66" s="565">
        <f t="shared" si="3"/>
        <v>100</v>
      </c>
      <c r="R66" s="565">
        <f t="shared" si="3"/>
        <v>100</v>
      </c>
      <c r="T66" s="449">
        <f t="shared" si="5"/>
        <v>10</v>
      </c>
    </row>
    <row r="67" spans="1:20" ht="15">
      <c r="A67" s="435">
        <v>11</v>
      </c>
      <c r="B67" s="436" t="s">
        <v>889</v>
      </c>
      <c r="C67" s="437" t="s">
        <v>2</v>
      </c>
      <c r="D67" s="553">
        <v>10</v>
      </c>
      <c r="E67" s="553">
        <v>10</v>
      </c>
      <c r="F67" s="553">
        <v>10</v>
      </c>
      <c r="G67" s="558">
        <v>1</v>
      </c>
      <c r="H67" s="558">
        <v>1</v>
      </c>
      <c r="I67" s="558">
        <v>1</v>
      </c>
      <c r="J67" s="558">
        <v>1</v>
      </c>
      <c r="K67" s="558">
        <v>1</v>
      </c>
      <c r="L67" s="558">
        <v>1</v>
      </c>
      <c r="M67" s="558">
        <v>1</v>
      </c>
      <c r="N67" s="558">
        <v>1</v>
      </c>
      <c r="O67" s="558">
        <v>1</v>
      </c>
      <c r="P67" s="558">
        <v>1</v>
      </c>
      <c r="Q67" s="565">
        <f t="shared" si="3"/>
        <v>100</v>
      </c>
      <c r="R67" s="565">
        <f t="shared" si="3"/>
        <v>100</v>
      </c>
      <c r="T67" s="449">
        <f t="shared" si="5"/>
        <v>10</v>
      </c>
    </row>
    <row r="68" spans="1:20" ht="15">
      <c r="A68" s="435">
        <v>13</v>
      </c>
      <c r="B68" s="436" t="s">
        <v>890</v>
      </c>
      <c r="C68" s="437" t="s">
        <v>891</v>
      </c>
      <c r="D68" s="553">
        <v>130</v>
      </c>
      <c r="E68" s="553">
        <v>130</v>
      </c>
      <c r="F68" s="553">
        <v>130</v>
      </c>
      <c r="G68" s="558">
        <v>3</v>
      </c>
      <c r="H68" s="558">
        <v>9</v>
      </c>
      <c r="I68" s="553">
        <v>25</v>
      </c>
      <c r="J68" s="553">
        <v>14</v>
      </c>
      <c r="K68" s="553">
        <v>19</v>
      </c>
      <c r="L68" s="553">
        <v>10</v>
      </c>
      <c r="M68" s="553">
        <v>12</v>
      </c>
      <c r="N68" s="553">
        <v>12</v>
      </c>
      <c r="O68" s="553">
        <v>11</v>
      </c>
      <c r="P68" s="553">
        <v>15</v>
      </c>
      <c r="Q68" s="565">
        <f t="shared" si="3"/>
        <v>100</v>
      </c>
      <c r="R68" s="565">
        <f t="shared" si="3"/>
        <v>100</v>
      </c>
      <c r="T68" s="449">
        <f t="shared" si="5"/>
        <v>130</v>
      </c>
    </row>
    <row r="69" spans="1:20" ht="25.5">
      <c r="A69" s="435">
        <v>14</v>
      </c>
      <c r="B69" s="436" t="s">
        <v>892</v>
      </c>
      <c r="C69" s="437" t="s">
        <v>21</v>
      </c>
      <c r="D69" s="553">
        <v>100</v>
      </c>
      <c r="E69" s="553">
        <v>100</v>
      </c>
      <c r="F69" s="553">
        <v>100</v>
      </c>
      <c r="G69" s="553">
        <v>100</v>
      </c>
      <c r="H69" s="553">
        <v>100</v>
      </c>
      <c r="I69" s="553">
        <v>100</v>
      </c>
      <c r="J69" s="553">
        <v>100</v>
      </c>
      <c r="K69" s="553">
        <v>100</v>
      </c>
      <c r="L69" s="553">
        <v>100</v>
      </c>
      <c r="M69" s="553">
        <v>100</v>
      </c>
      <c r="N69" s="553">
        <v>100</v>
      </c>
      <c r="O69" s="553">
        <v>100</v>
      </c>
      <c r="P69" s="553">
        <v>100</v>
      </c>
      <c r="Q69" s="565">
        <f>E69-D69</f>
        <v>0</v>
      </c>
      <c r="R69" s="565">
        <f>F69-E69</f>
        <v>0</v>
      </c>
      <c r="T69" s="449">
        <f t="shared" si="5"/>
        <v>1000</v>
      </c>
    </row>
    <row r="70" spans="1:20" s="578" customFormat="1" ht="14.25">
      <c r="A70" s="572" t="s">
        <v>101</v>
      </c>
      <c r="B70" s="573" t="s">
        <v>893</v>
      </c>
      <c r="C70" s="574" t="s">
        <v>155</v>
      </c>
      <c r="D70" s="586">
        <f>D73+D82+D85</f>
        <v>2170</v>
      </c>
      <c r="E70" s="586">
        <f aca="true" t="shared" si="7" ref="E70:P70">E73+E82+E85</f>
        <v>2239</v>
      </c>
      <c r="F70" s="586">
        <f t="shared" si="7"/>
        <v>2269</v>
      </c>
      <c r="G70" s="586">
        <f t="shared" si="7"/>
        <v>109</v>
      </c>
      <c r="H70" s="586">
        <f t="shared" si="7"/>
        <v>857</v>
      </c>
      <c r="I70" s="586">
        <f t="shared" si="7"/>
        <v>200</v>
      </c>
      <c r="J70" s="586">
        <f t="shared" si="7"/>
        <v>137</v>
      </c>
      <c r="K70" s="586">
        <f t="shared" si="7"/>
        <v>311</v>
      </c>
      <c r="L70" s="586">
        <f t="shared" si="7"/>
        <v>135</v>
      </c>
      <c r="M70" s="586">
        <f t="shared" si="7"/>
        <v>166</v>
      </c>
      <c r="N70" s="586">
        <f t="shared" si="7"/>
        <v>116</v>
      </c>
      <c r="O70" s="586">
        <f t="shared" si="7"/>
        <v>103</v>
      </c>
      <c r="P70" s="586">
        <f t="shared" si="7"/>
        <v>135</v>
      </c>
      <c r="Q70" s="576">
        <f>E70/D70*100</f>
        <v>103.17972350230416</v>
      </c>
      <c r="R70" s="576">
        <f>F70/E70*100</f>
        <v>101.33988387673068</v>
      </c>
      <c r="T70" s="579">
        <f t="shared" si="5"/>
        <v>2269</v>
      </c>
    </row>
    <row r="71" spans="1:20" s="592" customFormat="1" ht="15">
      <c r="A71" s="587"/>
      <c r="B71" s="588" t="s">
        <v>894</v>
      </c>
      <c r="C71" s="589" t="s">
        <v>155</v>
      </c>
      <c r="D71" s="590">
        <f>D73+D82</f>
        <v>1780</v>
      </c>
      <c r="E71" s="590">
        <f aca="true" t="shared" si="8" ref="E71:P71">E73+E82</f>
        <v>1849</v>
      </c>
      <c r="F71" s="590">
        <f t="shared" si="8"/>
        <v>1879</v>
      </c>
      <c r="G71" s="590">
        <f t="shared" si="8"/>
        <v>100</v>
      </c>
      <c r="H71" s="590">
        <f t="shared" si="8"/>
        <v>830</v>
      </c>
      <c r="I71" s="590">
        <f t="shared" si="8"/>
        <v>125</v>
      </c>
      <c r="J71" s="590">
        <f t="shared" si="8"/>
        <v>95</v>
      </c>
      <c r="K71" s="590">
        <f t="shared" si="8"/>
        <v>254</v>
      </c>
      <c r="L71" s="590">
        <f t="shared" si="8"/>
        <v>105</v>
      </c>
      <c r="M71" s="590">
        <f t="shared" si="8"/>
        <v>130</v>
      </c>
      <c r="N71" s="590">
        <f t="shared" si="8"/>
        <v>80</v>
      </c>
      <c r="O71" s="590">
        <f t="shared" si="8"/>
        <v>70</v>
      </c>
      <c r="P71" s="590">
        <f t="shared" si="8"/>
        <v>90</v>
      </c>
      <c r="Q71" s="591">
        <f>E71/D71*100</f>
        <v>103.87640449438203</v>
      </c>
      <c r="R71" s="591">
        <f>F71/E71*100</f>
        <v>101.6224986479178</v>
      </c>
      <c r="T71" s="593">
        <f t="shared" si="5"/>
        <v>1879</v>
      </c>
    </row>
    <row r="72" spans="1:20" s="592" customFormat="1" ht="15" customHeight="1">
      <c r="A72" s="587"/>
      <c r="B72" s="588" t="s">
        <v>1279</v>
      </c>
      <c r="C72" s="589" t="s">
        <v>895</v>
      </c>
      <c r="D72" s="594">
        <v>31.39590054202024</v>
      </c>
      <c r="E72" s="594">
        <v>32.06406570272154</v>
      </c>
      <c r="F72" s="594">
        <v>32.04067921465379</v>
      </c>
      <c r="G72" s="595">
        <v>86.88852202624034</v>
      </c>
      <c r="H72" s="595">
        <v>139.1846796236983</v>
      </c>
      <c r="I72" s="595">
        <v>10.695187165775401</v>
      </c>
      <c r="J72" s="595">
        <v>14.533327214037664</v>
      </c>
      <c r="K72" s="595">
        <v>29.976160691103924</v>
      </c>
      <c r="L72" s="595">
        <v>21.79282289699259</v>
      </c>
      <c r="M72" s="595">
        <v>23.924325518053664</v>
      </c>
      <c r="N72" s="595">
        <v>16.60681294501069</v>
      </c>
      <c r="O72" s="595">
        <v>15.955870620683367</v>
      </c>
      <c r="P72" s="595">
        <v>16.740760030505385</v>
      </c>
      <c r="Q72" s="591">
        <f>E72-D72</f>
        <v>0.668165160701303</v>
      </c>
      <c r="R72" s="591">
        <f>F72-E72</f>
        <v>-0.023386488067750122</v>
      </c>
      <c r="T72" s="593">
        <f t="shared" si="5"/>
        <v>376.29846873210124</v>
      </c>
    </row>
    <row r="73" spans="1:20" s="578" customFormat="1" ht="14.25">
      <c r="A73" s="572"/>
      <c r="B73" s="573" t="s">
        <v>896</v>
      </c>
      <c r="C73" s="574" t="s">
        <v>155</v>
      </c>
      <c r="D73" s="596">
        <f>SUM(D74:D79)</f>
        <v>860</v>
      </c>
      <c r="E73" s="596">
        <f aca="true" t="shared" si="9" ref="E73:P73">SUM(E74:E79)</f>
        <v>850</v>
      </c>
      <c r="F73" s="596">
        <f t="shared" si="9"/>
        <v>880</v>
      </c>
      <c r="G73" s="596">
        <f t="shared" si="9"/>
        <v>100</v>
      </c>
      <c r="H73" s="596">
        <f t="shared" si="9"/>
        <v>760</v>
      </c>
      <c r="I73" s="596">
        <f t="shared" si="9"/>
        <v>0</v>
      </c>
      <c r="J73" s="596">
        <f t="shared" si="9"/>
        <v>0</v>
      </c>
      <c r="K73" s="596">
        <f t="shared" si="9"/>
        <v>20</v>
      </c>
      <c r="L73" s="596">
        <f t="shared" si="9"/>
        <v>0</v>
      </c>
      <c r="M73" s="596">
        <f t="shared" si="9"/>
        <v>0</v>
      </c>
      <c r="N73" s="596">
        <f t="shared" si="9"/>
        <v>0</v>
      </c>
      <c r="O73" s="596">
        <f t="shared" si="9"/>
        <v>0</v>
      </c>
      <c r="P73" s="596">
        <f t="shared" si="9"/>
        <v>0</v>
      </c>
      <c r="Q73" s="576">
        <f aca="true" t="shared" si="10" ref="Q73:R85">E73/D73*100</f>
        <v>98.83720930232558</v>
      </c>
      <c r="R73" s="576">
        <f t="shared" si="10"/>
        <v>103.5294117647059</v>
      </c>
      <c r="T73" s="579">
        <f t="shared" si="5"/>
        <v>880</v>
      </c>
    </row>
    <row r="74" spans="1:20" ht="15">
      <c r="A74" s="440"/>
      <c r="B74" s="436" t="s">
        <v>898</v>
      </c>
      <c r="C74" s="437" t="s">
        <v>155</v>
      </c>
      <c r="D74" s="597">
        <v>550</v>
      </c>
      <c r="E74" s="597">
        <v>550</v>
      </c>
      <c r="F74" s="597">
        <v>580</v>
      </c>
      <c r="G74" s="598"/>
      <c r="H74" s="598">
        <v>580</v>
      </c>
      <c r="I74" s="597"/>
      <c r="J74" s="597"/>
      <c r="K74" s="597"/>
      <c r="L74" s="597"/>
      <c r="M74" s="597"/>
      <c r="N74" s="597"/>
      <c r="O74" s="597"/>
      <c r="P74" s="597"/>
      <c r="Q74" s="599">
        <f t="shared" si="10"/>
        <v>100</v>
      </c>
      <c r="R74" s="599">
        <f t="shared" si="10"/>
        <v>105.45454545454544</v>
      </c>
      <c r="T74" s="449">
        <f t="shared" si="5"/>
        <v>580</v>
      </c>
    </row>
    <row r="75" spans="1:20" ht="15">
      <c r="A75" s="441"/>
      <c r="B75" s="436" t="s">
        <v>897</v>
      </c>
      <c r="C75" s="437" t="s">
        <v>155</v>
      </c>
      <c r="D75" s="597">
        <v>100</v>
      </c>
      <c r="E75" s="597">
        <v>100</v>
      </c>
      <c r="F75" s="597">
        <v>100</v>
      </c>
      <c r="G75" s="598">
        <v>100</v>
      </c>
      <c r="H75" s="598"/>
      <c r="I75" s="597"/>
      <c r="J75" s="597"/>
      <c r="K75" s="597"/>
      <c r="L75" s="597"/>
      <c r="M75" s="597"/>
      <c r="N75" s="597"/>
      <c r="O75" s="597"/>
      <c r="P75" s="597"/>
      <c r="Q75" s="599">
        <f t="shared" si="10"/>
        <v>100</v>
      </c>
      <c r="R75" s="599">
        <f t="shared" si="10"/>
        <v>100</v>
      </c>
      <c r="T75" s="449">
        <f t="shared" si="5"/>
        <v>100</v>
      </c>
    </row>
    <row r="76" spans="1:20" ht="15">
      <c r="A76" s="441"/>
      <c r="B76" s="436" t="s">
        <v>899</v>
      </c>
      <c r="C76" s="437" t="s">
        <v>155</v>
      </c>
      <c r="D76" s="597">
        <v>100</v>
      </c>
      <c r="E76" s="597">
        <v>100</v>
      </c>
      <c r="F76" s="597">
        <v>100</v>
      </c>
      <c r="G76" s="598"/>
      <c r="H76" s="598">
        <v>100</v>
      </c>
      <c r="I76" s="597"/>
      <c r="J76" s="597"/>
      <c r="K76" s="597"/>
      <c r="L76" s="597"/>
      <c r="M76" s="597"/>
      <c r="N76" s="597"/>
      <c r="O76" s="597"/>
      <c r="P76" s="597"/>
      <c r="Q76" s="599">
        <f t="shared" si="10"/>
        <v>100</v>
      </c>
      <c r="R76" s="599">
        <f t="shared" si="10"/>
        <v>100</v>
      </c>
      <c r="T76" s="449">
        <f t="shared" si="5"/>
        <v>100</v>
      </c>
    </row>
    <row r="77" spans="1:20" ht="15">
      <c r="A77" s="441"/>
      <c r="B77" s="436" t="s">
        <v>900</v>
      </c>
      <c r="C77" s="437" t="s">
        <v>155</v>
      </c>
      <c r="D77" s="597">
        <v>40</v>
      </c>
      <c r="E77" s="597">
        <v>40</v>
      </c>
      <c r="F77" s="597">
        <v>40</v>
      </c>
      <c r="G77" s="598"/>
      <c r="H77" s="598">
        <v>40</v>
      </c>
      <c r="I77" s="597"/>
      <c r="J77" s="597"/>
      <c r="K77" s="597"/>
      <c r="L77" s="597"/>
      <c r="M77" s="597"/>
      <c r="N77" s="597"/>
      <c r="O77" s="597"/>
      <c r="P77" s="597"/>
      <c r="Q77" s="599">
        <f t="shared" si="10"/>
        <v>100</v>
      </c>
      <c r="R77" s="599">
        <f t="shared" si="10"/>
        <v>100</v>
      </c>
      <c r="T77" s="449">
        <f t="shared" si="5"/>
        <v>40</v>
      </c>
    </row>
    <row r="78" spans="1:20" ht="15">
      <c r="A78" s="441"/>
      <c r="B78" s="436" t="s">
        <v>872</v>
      </c>
      <c r="C78" s="437" t="s">
        <v>155</v>
      </c>
      <c r="D78" s="597">
        <v>40</v>
      </c>
      <c r="E78" s="597">
        <v>40</v>
      </c>
      <c r="F78" s="597">
        <v>40</v>
      </c>
      <c r="G78" s="598"/>
      <c r="H78" s="598">
        <v>40</v>
      </c>
      <c r="I78" s="597"/>
      <c r="J78" s="597"/>
      <c r="K78" s="597"/>
      <c r="L78" s="597"/>
      <c r="M78" s="597"/>
      <c r="N78" s="597"/>
      <c r="O78" s="597"/>
      <c r="P78" s="597"/>
      <c r="Q78" s="599">
        <f t="shared" si="10"/>
        <v>100</v>
      </c>
      <c r="R78" s="599">
        <f t="shared" si="10"/>
        <v>100</v>
      </c>
      <c r="T78" s="449">
        <f t="shared" si="5"/>
        <v>40</v>
      </c>
    </row>
    <row r="79" spans="1:20" ht="15">
      <c r="A79" s="441"/>
      <c r="B79" s="436" t="s">
        <v>875</v>
      </c>
      <c r="C79" s="437" t="s">
        <v>155</v>
      </c>
      <c r="D79" s="597">
        <v>30</v>
      </c>
      <c r="E79" s="597">
        <v>20</v>
      </c>
      <c r="F79" s="597">
        <v>20</v>
      </c>
      <c r="G79" s="598"/>
      <c r="H79" s="598"/>
      <c r="I79" s="597"/>
      <c r="J79" s="597"/>
      <c r="K79" s="597">
        <v>20</v>
      </c>
      <c r="L79" s="597"/>
      <c r="M79" s="597"/>
      <c r="N79" s="597"/>
      <c r="O79" s="597"/>
      <c r="P79" s="597"/>
      <c r="Q79" s="600">
        <f t="shared" si="10"/>
        <v>66.66666666666666</v>
      </c>
      <c r="R79" s="599">
        <f t="shared" si="10"/>
        <v>100</v>
      </c>
      <c r="T79" s="449">
        <f t="shared" si="5"/>
        <v>20</v>
      </c>
    </row>
    <row r="80" spans="1:20" ht="15" customHeight="1" hidden="1">
      <c r="A80" s="441"/>
      <c r="B80" s="436" t="s">
        <v>901</v>
      </c>
      <c r="C80" s="437" t="s">
        <v>155</v>
      </c>
      <c r="D80" s="553"/>
      <c r="E80" s="553"/>
      <c r="F80" s="553"/>
      <c r="G80" s="558"/>
      <c r="H80" s="558"/>
      <c r="I80" s="553"/>
      <c r="J80" s="553"/>
      <c r="K80" s="553"/>
      <c r="L80" s="553"/>
      <c r="M80" s="553"/>
      <c r="N80" s="553"/>
      <c r="O80" s="553"/>
      <c r="P80" s="553"/>
      <c r="Q80" s="543" t="e">
        <f t="shared" si="10"/>
        <v>#DIV/0!</v>
      </c>
      <c r="R80" s="565" t="e">
        <f t="shared" si="10"/>
        <v>#DIV/0!</v>
      </c>
      <c r="T80" s="449">
        <f t="shared" si="5"/>
        <v>0</v>
      </c>
    </row>
    <row r="81" spans="1:20" ht="15" customHeight="1" hidden="1">
      <c r="A81" s="442"/>
      <c r="B81" s="436" t="s">
        <v>874</v>
      </c>
      <c r="C81" s="437" t="s">
        <v>155</v>
      </c>
      <c r="D81" s="553"/>
      <c r="E81" s="553"/>
      <c r="F81" s="553"/>
      <c r="G81" s="558"/>
      <c r="H81" s="558"/>
      <c r="I81" s="553"/>
      <c r="J81" s="553"/>
      <c r="K81" s="553"/>
      <c r="L81" s="553"/>
      <c r="M81" s="553"/>
      <c r="N81" s="553"/>
      <c r="O81" s="553"/>
      <c r="P81" s="553"/>
      <c r="Q81" s="543" t="e">
        <f t="shared" si="10"/>
        <v>#DIV/0!</v>
      </c>
      <c r="R81" s="565" t="e">
        <f t="shared" si="10"/>
        <v>#DIV/0!</v>
      </c>
      <c r="T81" s="449">
        <f t="shared" si="5"/>
        <v>0</v>
      </c>
    </row>
    <row r="82" spans="1:20" s="444" customFormat="1" ht="14.25">
      <c r="A82" s="430"/>
      <c r="B82" s="431" t="s">
        <v>902</v>
      </c>
      <c r="C82" s="1027" t="s">
        <v>155</v>
      </c>
      <c r="D82" s="601">
        <f>D83+D84</f>
        <v>920</v>
      </c>
      <c r="E82" s="601">
        <f aca="true" t="shared" si="11" ref="E82:P82">E83+E84</f>
        <v>999</v>
      </c>
      <c r="F82" s="601">
        <f t="shared" si="11"/>
        <v>999</v>
      </c>
      <c r="G82" s="601">
        <f t="shared" si="11"/>
        <v>0</v>
      </c>
      <c r="H82" s="601">
        <f t="shared" si="11"/>
        <v>70</v>
      </c>
      <c r="I82" s="601">
        <f t="shared" si="11"/>
        <v>125</v>
      </c>
      <c r="J82" s="601">
        <f t="shared" si="11"/>
        <v>95</v>
      </c>
      <c r="K82" s="601">
        <f t="shared" si="11"/>
        <v>234</v>
      </c>
      <c r="L82" s="601">
        <f t="shared" si="11"/>
        <v>105</v>
      </c>
      <c r="M82" s="601">
        <f t="shared" si="11"/>
        <v>130</v>
      </c>
      <c r="N82" s="601">
        <f t="shared" si="11"/>
        <v>80</v>
      </c>
      <c r="O82" s="601">
        <f t="shared" si="11"/>
        <v>70</v>
      </c>
      <c r="P82" s="601">
        <f t="shared" si="11"/>
        <v>90</v>
      </c>
      <c r="Q82" s="543">
        <f t="shared" si="10"/>
        <v>108.58695652173913</v>
      </c>
      <c r="R82" s="565">
        <f t="shared" si="10"/>
        <v>100</v>
      </c>
      <c r="T82" s="445">
        <f t="shared" si="5"/>
        <v>999</v>
      </c>
    </row>
    <row r="83" spans="1:20" ht="15">
      <c r="A83" s="440"/>
      <c r="B83" s="436" t="s">
        <v>903</v>
      </c>
      <c r="C83" s="437" t="s">
        <v>155</v>
      </c>
      <c r="D83" s="553">
        <v>730</v>
      </c>
      <c r="E83" s="553">
        <v>810</v>
      </c>
      <c r="F83" s="553">
        <v>810</v>
      </c>
      <c r="G83" s="558"/>
      <c r="H83" s="558">
        <v>70</v>
      </c>
      <c r="I83" s="553">
        <v>100</v>
      </c>
      <c r="J83" s="553">
        <v>80</v>
      </c>
      <c r="K83" s="553">
        <v>200</v>
      </c>
      <c r="L83" s="553">
        <v>90</v>
      </c>
      <c r="M83" s="553">
        <v>100</v>
      </c>
      <c r="N83" s="553">
        <v>60</v>
      </c>
      <c r="O83" s="553">
        <v>60</v>
      </c>
      <c r="P83" s="553">
        <v>50</v>
      </c>
      <c r="Q83" s="543">
        <f t="shared" si="10"/>
        <v>110.95890410958904</v>
      </c>
      <c r="R83" s="565">
        <f t="shared" si="10"/>
        <v>100</v>
      </c>
      <c r="T83" s="449">
        <f t="shared" si="5"/>
        <v>810</v>
      </c>
    </row>
    <row r="84" spans="1:20" ht="15">
      <c r="A84" s="441"/>
      <c r="B84" s="436" t="s">
        <v>904</v>
      </c>
      <c r="C84" s="437" t="s">
        <v>155</v>
      </c>
      <c r="D84" s="553">
        <v>190</v>
      </c>
      <c r="E84" s="553">
        <v>189</v>
      </c>
      <c r="F84" s="553">
        <v>189</v>
      </c>
      <c r="G84" s="558"/>
      <c r="H84" s="558">
        <v>0</v>
      </c>
      <c r="I84" s="553">
        <v>25</v>
      </c>
      <c r="J84" s="553">
        <v>15</v>
      </c>
      <c r="K84" s="553">
        <v>34</v>
      </c>
      <c r="L84" s="553">
        <v>15</v>
      </c>
      <c r="M84" s="553">
        <v>30</v>
      </c>
      <c r="N84" s="553">
        <v>20</v>
      </c>
      <c r="O84" s="553">
        <v>10</v>
      </c>
      <c r="P84" s="553">
        <v>40</v>
      </c>
      <c r="Q84" s="543">
        <f t="shared" si="10"/>
        <v>99.47368421052632</v>
      </c>
      <c r="R84" s="565">
        <f t="shared" si="10"/>
        <v>100</v>
      </c>
      <c r="T84" s="449">
        <f t="shared" si="5"/>
        <v>189</v>
      </c>
    </row>
    <row r="85" spans="1:20" ht="17.25" customHeight="1">
      <c r="A85" s="453"/>
      <c r="B85" s="436" t="s">
        <v>905</v>
      </c>
      <c r="C85" s="437" t="s">
        <v>155</v>
      </c>
      <c r="D85" s="553">
        <v>390</v>
      </c>
      <c r="E85" s="553">
        <v>390</v>
      </c>
      <c r="F85" s="553">
        <v>390</v>
      </c>
      <c r="G85" s="558">
        <v>9</v>
      </c>
      <c r="H85" s="558">
        <v>27</v>
      </c>
      <c r="I85" s="553">
        <v>75</v>
      </c>
      <c r="J85" s="553">
        <v>42</v>
      </c>
      <c r="K85" s="553">
        <v>57</v>
      </c>
      <c r="L85" s="553">
        <v>30</v>
      </c>
      <c r="M85" s="553">
        <v>36</v>
      </c>
      <c r="N85" s="553">
        <v>36</v>
      </c>
      <c r="O85" s="553">
        <v>33</v>
      </c>
      <c r="P85" s="553">
        <v>45</v>
      </c>
      <c r="Q85" s="565">
        <f t="shared" si="10"/>
        <v>100</v>
      </c>
      <c r="R85" s="565">
        <f t="shared" si="10"/>
        <v>100</v>
      </c>
      <c r="T85" s="449">
        <f t="shared" si="5"/>
        <v>390</v>
      </c>
    </row>
    <row r="86" spans="1:20" ht="15">
      <c r="A86" s="430" t="s">
        <v>104</v>
      </c>
      <c r="B86" s="431" t="s">
        <v>906</v>
      </c>
      <c r="C86" s="1027"/>
      <c r="D86" s="602"/>
      <c r="E86" s="601"/>
      <c r="F86" s="601"/>
      <c r="G86" s="585"/>
      <c r="H86" s="585"/>
      <c r="I86" s="585"/>
      <c r="J86" s="585"/>
      <c r="K86" s="585"/>
      <c r="L86" s="585"/>
      <c r="M86" s="585"/>
      <c r="N86" s="585"/>
      <c r="O86" s="585"/>
      <c r="P86" s="585"/>
      <c r="Q86" s="543"/>
      <c r="R86" s="543"/>
      <c r="T86" s="449">
        <f t="shared" si="5"/>
        <v>0</v>
      </c>
    </row>
    <row r="87" spans="1:20" ht="15" customHeight="1" hidden="1">
      <c r="A87" s="430"/>
      <c r="B87" s="436" t="s">
        <v>907</v>
      </c>
      <c r="C87" s="1027"/>
      <c r="D87" s="603"/>
      <c r="E87" s="603"/>
      <c r="F87" s="603"/>
      <c r="G87" s="604"/>
      <c r="H87" s="604"/>
      <c r="I87" s="604"/>
      <c r="J87" s="604"/>
      <c r="K87" s="604"/>
      <c r="L87" s="604"/>
      <c r="M87" s="604"/>
      <c r="N87" s="604"/>
      <c r="O87" s="604"/>
      <c r="P87" s="604"/>
      <c r="Q87" s="543" t="e">
        <v>#DIV/0!</v>
      </c>
      <c r="R87" s="543" t="e">
        <v>#DIV/0!</v>
      </c>
      <c r="T87" s="449">
        <f t="shared" si="5"/>
        <v>0</v>
      </c>
    </row>
    <row r="88" spans="1:20" ht="15">
      <c r="A88" s="440"/>
      <c r="B88" s="436" t="s">
        <v>1280</v>
      </c>
      <c r="C88" s="437" t="s">
        <v>895</v>
      </c>
      <c r="D88" s="549">
        <v>12.2</v>
      </c>
      <c r="E88" s="549">
        <v>12.537760683108532</v>
      </c>
      <c r="F88" s="549">
        <v>12.46500080144328</v>
      </c>
      <c r="G88" s="552">
        <v>20.853245286297682</v>
      </c>
      <c r="H88" s="552">
        <v>52.65540891788104</v>
      </c>
      <c r="I88" s="552">
        <v>5.390374331550802</v>
      </c>
      <c r="J88" s="552">
        <v>7.649119586335613</v>
      </c>
      <c r="K88" s="552">
        <v>7.198999221091888</v>
      </c>
      <c r="L88" s="552">
        <v>10.585085407110686</v>
      </c>
      <c r="M88" s="552">
        <v>9.93779675365306</v>
      </c>
      <c r="N88" s="552">
        <v>9.13374711975588</v>
      </c>
      <c r="O88" s="552">
        <v>7.522053292607873</v>
      </c>
      <c r="P88" s="552">
        <v>6.882312456985547</v>
      </c>
      <c r="Q88" s="543">
        <f>E88-D88</f>
        <v>0.3377606831085327</v>
      </c>
      <c r="R88" s="565">
        <f>F88-E88</f>
        <v>-0.07275988166525238</v>
      </c>
      <c r="T88" s="449">
        <f t="shared" si="5"/>
        <v>137.80814237327007</v>
      </c>
    </row>
    <row r="89" spans="1:20" ht="15" customHeight="1" hidden="1">
      <c r="A89" s="441"/>
      <c r="B89" s="436" t="s">
        <v>908</v>
      </c>
      <c r="C89" s="437"/>
      <c r="D89" s="603">
        <v>76</v>
      </c>
      <c r="E89" s="603">
        <v>87</v>
      </c>
      <c r="F89" s="603">
        <v>98</v>
      </c>
      <c r="G89" s="604">
        <v>3</v>
      </c>
      <c r="H89" s="552">
        <v>58</v>
      </c>
      <c r="I89" s="552">
        <v>5</v>
      </c>
      <c r="J89" s="552">
        <v>5</v>
      </c>
      <c r="K89" s="552">
        <v>5</v>
      </c>
      <c r="L89" s="552">
        <v>4</v>
      </c>
      <c r="M89" s="552">
        <v>4</v>
      </c>
      <c r="N89" s="552">
        <v>6</v>
      </c>
      <c r="O89" s="552">
        <v>6</v>
      </c>
      <c r="P89" s="552">
        <v>2</v>
      </c>
      <c r="Q89" s="543">
        <f aca="true" t="shared" si="12" ref="Q89:R96">E89-D89</f>
        <v>11</v>
      </c>
      <c r="R89" s="565">
        <f t="shared" si="12"/>
        <v>11</v>
      </c>
      <c r="T89" s="449">
        <f t="shared" si="5"/>
        <v>98</v>
      </c>
    </row>
    <row r="90" spans="1:20" ht="15">
      <c r="A90" s="441"/>
      <c r="B90" s="436" t="s">
        <v>1281</v>
      </c>
      <c r="C90" s="437" t="s">
        <v>895</v>
      </c>
      <c r="D90" s="552">
        <v>1.3404991242660327</v>
      </c>
      <c r="E90" s="552">
        <v>1.5086931942329769</v>
      </c>
      <c r="F90" s="552">
        <v>1.6710944986887024</v>
      </c>
      <c r="G90" s="552">
        <v>2.6066556607872102</v>
      </c>
      <c r="H90" s="552">
        <v>9.72615833515</v>
      </c>
      <c r="I90" s="552">
        <v>0.42780748663101603</v>
      </c>
      <c r="J90" s="552">
        <v>0.7649119586335613</v>
      </c>
      <c r="K90" s="552">
        <v>0.5900819033681876</v>
      </c>
      <c r="L90" s="552">
        <v>0.8302027770282892</v>
      </c>
      <c r="M90" s="552">
        <v>0.7361330928631896</v>
      </c>
      <c r="N90" s="552">
        <v>1.2455109708758019</v>
      </c>
      <c r="O90" s="552">
        <v>1.3676460532014314</v>
      </c>
      <c r="P90" s="552">
        <v>0.37201688956678636</v>
      </c>
      <c r="Q90" s="564">
        <f t="shared" si="12"/>
        <v>0.1681940699669442</v>
      </c>
      <c r="R90" s="564">
        <f t="shared" si="12"/>
        <v>0.16240130445572554</v>
      </c>
      <c r="T90" s="449">
        <f t="shared" si="5"/>
        <v>18.667125128105475</v>
      </c>
    </row>
    <row r="91" spans="1:20" ht="15" customHeight="1" hidden="1">
      <c r="A91" s="441"/>
      <c r="B91" s="436" t="s">
        <v>909</v>
      </c>
      <c r="C91" s="437"/>
      <c r="D91" s="605">
        <v>113</v>
      </c>
      <c r="E91" s="603">
        <v>117</v>
      </c>
      <c r="F91" s="605">
        <v>120</v>
      </c>
      <c r="G91" s="606">
        <v>3</v>
      </c>
      <c r="H91" s="606">
        <v>9</v>
      </c>
      <c r="I91" s="606">
        <v>25</v>
      </c>
      <c r="J91" s="606">
        <v>14</v>
      </c>
      <c r="K91" s="606">
        <v>19</v>
      </c>
      <c r="L91" s="606">
        <v>7</v>
      </c>
      <c r="M91" s="606">
        <v>12</v>
      </c>
      <c r="N91" s="606">
        <v>12</v>
      </c>
      <c r="O91" s="606">
        <v>10</v>
      </c>
      <c r="P91" s="606">
        <v>9</v>
      </c>
      <c r="Q91" s="543">
        <f t="shared" si="12"/>
        <v>4</v>
      </c>
      <c r="R91" s="543">
        <f t="shared" si="12"/>
        <v>3</v>
      </c>
      <c r="T91" s="449">
        <f t="shared" si="5"/>
        <v>120</v>
      </c>
    </row>
    <row r="92" spans="1:20" ht="15">
      <c r="A92" s="441"/>
      <c r="B92" s="436" t="s">
        <v>910</v>
      </c>
      <c r="C92" s="437" t="s">
        <v>21</v>
      </c>
      <c r="D92" s="549">
        <v>86.92307692307692</v>
      </c>
      <c r="E92" s="549">
        <v>90</v>
      </c>
      <c r="F92" s="549">
        <v>96.9</v>
      </c>
      <c r="G92" s="607">
        <v>100</v>
      </c>
      <c r="H92" s="584">
        <v>100</v>
      </c>
      <c r="I92" s="584">
        <v>100</v>
      </c>
      <c r="J92" s="607">
        <v>100</v>
      </c>
      <c r="K92" s="584">
        <v>100</v>
      </c>
      <c r="L92" s="549">
        <v>90</v>
      </c>
      <c r="M92" s="607">
        <v>100</v>
      </c>
      <c r="N92" s="608">
        <v>100</v>
      </c>
      <c r="O92" s="609">
        <v>90.9090909090909</v>
      </c>
      <c r="P92" s="549">
        <v>86.7</v>
      </c>
      <c r="Q92" s="543">
        <f t="shared" si="12"/>
        <v>3.07692307692308</v>
      </c>
      <c r="R92" s="543">
        <f t="shared" si="12"/>
        <v>6.900000000000006</v>
      </c>
      <c r="T92" s="449">
        <f t="shared" si="5"/>
        <v>967.6090909090909</v>
      </c>
    </row>
    <row r="93" spans="1:20" ht="15" customHeight="1" hidden="1">
      <c r="A93" s="441"/>
      <c r="B93" s="436" t="s">
        <v>911</v>
      </c>
      <c r="C93" s="437"/>
      <c r="D93" s="610">
        <v>127</v>
      </c>
      <c r="E93" s="605">
        <v>124</v>
      </c>
      <c r="F93" s="605">
        <v>124</v>
      </c>
      <c r="G93" s="611">
        <v>3</v>
      </c>
      <c r="H93" s="611">
        <v>9</v>
      </c>
      <c r="I93" s="611">
        <v>23</v>
      </c>
      <c r="J93" s="611">
        <v>14</v>
      </c>
      <c r="K93" s="611">
        <v>17</v>
      </c>
      <c r="L93" s="611">
        <v>10</v>
      </c>
      <c r="M93" s="611">
        <v>12</v>
      </c>
      <c r="N93" s="611">
        <v>12</v>
      </c>
      <c r="O93" s="611">
        <v>10</v>
      </c>
      <c r="P93" s="611">
        <v>14</v>
      </c>
      <c r="Q93" s="543">
        <f t="shared" si="12"/>
        <v>-3</v>
      </c>
      <c r="R93" s="543">
        <f t="shared" si="12"/>
        <v>0</v>
      </c>
      <c r="T93" s="449">
        <f t="shared" si="5"/>
        <v>124</v>
      </c>
    </row>
    <row r="94" spans="1:20" ht="15">
      <c r="A94" s="441"/>
      <c r="B94" s="436" t="s">
        <v>912</v>
      </c>
      <c r="C94" s="437" t="s">
        <v>21</v>
      </c>
      <c r="D94" s="612">
        <v>97.6923076923077</v>
      </c>
      <c r="E94" s="612">
        <v>95.38461538461539</v>
      </c>
      <c r="F94" s="612">
        <v>95.38461538461539</v>
      </c>
      <c r="G94" s="613">
        <v>100</v>
      </c>
      <c r="H94" s="613">
        <v>100</v>
      </c>
      <c r="I94" s="612">
        <v>92</v>
      </c>
      <c r="J94" s="613">
        <v>100</v>
      </c>
      <c r="K94" s="612">
        <v>89.47368421052632</v>
      </c>
      <c r="L94" s="613">
        <v>100</v>
      </c>
      <c r="M94" s="613">
        <v>100</v>
      </c>
      <c r="N94" s="613">
        <v>100</v>
      </c>
      <c r="O94" s="612">
        <v>90.9090909090909</v>
      </c>
      <c r="P94" s="612">
        <v>93.33333333333333</v>
      </c>
      <c r="Q94" s="543">
        <f t="shared" si="12"/>
        <v>-2.3076923076923066</v>
      </c>
      <c r="R94" s="543">
        <f t="shared" si="12"/>
        <v>0</v>
      </c>
      <c r="T94" s="449">
        <f t="shared" si="5"/>
        <v>965.7161084529505</v>
      </c>
    </row>
    <row r="95" spans="1:20" ht="15" customHeight="1" hidden="1">
      <c r="A95" s="441"/>
      <c r="B95" s="436" t="s">
        <v>913</v>
      </c>
      <c r="C95" s="437"/>
      <c r="D95" s="610">
        <v>1548</v>
      </c>
      <c r="E95" s="603">
        <v>1527</v>
      </c>
      <c r="F95" s="605">
        <v>1527</v>
      </c>
      <c r="G95" s="611">
        <v>30</v>
      </c>
      <c r="H95" s="611">
        <v>26</v>
      </c>
      <c r="I95" s="611">
        <v>451</v>
      </c>
      <c r="J95" s="611">
        <v>218</v>
      </c>
      <c r="K95" s="611">
        <v>211</v>
      </c>
      <c r="L95" s="611">
        <v>125</v>
      </c>
      <c r="M95" s="611">
        <v>136</v>
      </c>
      <c r="N95" s="611">
        <v>107</v>
      </c>
      <c r="O95" s="611">
        <v>102</v>
      </c>
      <c r="P95" s="611">
        <v>121</v>
      </c>
      <c r="Q95" s="543">
        <f t="shared" si="12"/>
        <v>-21</v>
      </c>
      <c r="R95" s="543">
        <f t="shared" si="12"/>
        <v>0</v>
      </c>
      <c r="T95" s="449">
        <f t="shared" si="5"/>
        <v>1527</v>
      </c>
    </row>
    <row r="96" spans="1:20" ht="15">
      <c r="A96" s="442"/>
      <c r="B96" s="436" t="s">
        <v>914</v>
      </c>
      <c r="C96" s="437" t="s">
        <v>21</v>
      </c>
      <c r="D96" s="612">
        <v>96.62921348314607</v>
      </c>
      <c r="E96" s="612">
        <v>95.31835205992509</v>
      </c>
      <c r="F96" s="612">
        <v>95.31835205992509</v>
      </c>
      <c r="G96" s="612">
        <v>100</v>
      </c>
      <c r="H96" s="612">
        <v>96.29629629629629</v>
      </c>
      <c r="I96" s="612">
        <v>96.98924731182795</v>
      </c>
      <c r="J96" s="612">
        <v>93.56223175965665</v>
      </c>
      <c r="K96" s="612">
        <v>92.95154185022027</v>
      </c>
      <c r="L96" s="612">
        <v>96.89922480620154</v>
      </c>
      <c r="M96" s="613">
        <v>100</v>
      </c>
      <c r="N96" s="612">
        <v>97.27272727272728</v>
      </c>
      <c r="O96" s="612">
        <v>88.69565217391305</v>
      </c>
      <c r="P96" s="612">
        <v>92.36641221374046</v>
      </c>
      <c r="Q96" s="543">
        <f t="shared" si="12"/>
        <v>-1.3108614232209845</v>
      </c>
      <c r="R96" s="543">
        <f t="shared" si="12"/>
        <v>0</v>
      </c>
      <c r="T96" s="449">
        <f t="shared" si="5"/>
        <v>955.0333336845835</v>
      </c>
    </row>
    <row r="97" spans="1:20" ht="15" customHeight="1" hidden="1">
      <c r="A97" s="435"/>
      <c r="B97" s="436" t="s">
        <v>915</v>
      </c>
      <c r="C97" s="437"/>
      <c r="D97" s="613"/>
      <c r="E97" s="605"/>
      <c r="F97" s="605"/>
      <c r="G97" s="614"/>
      <c r="H97" s="614"/>
      <c r="I97" s="565"/>
      <c r="J97" s="565"/>
      <c r="K97" s="565"/>
      <c r="L97" s="565"/>
      <c r="M97" s="565"/>
      <c r="N97" s="565"/>
      <c r="O97" s="565"/>
      <c r="P97" s="565"/>
      <c r="Q97" s="543" t="e">
        <v>#DIV/0!</v>
      </c>
      <c r="R97" s="543" t="e">
        <v>#DIV/0!</v>
      </c>
      <c r="T97" s="449">
        <f t="shared" si="5"/>
        <v>0</v>
      </c>
    </row>
    <row r="98" spans="1:20" ht="15">
      <c r="A98" s="430" t="s">
        <v>585</v>
      </c>
      <c r="B98" s="431" t="s">
        <v>916</v>
      </c>
      <c r="C98" s="437"/>
      <c r="D98" s="545"/>
      <c r="E98" s="545"/>
      <c r="F98" s="545"/>
      <c r="G98" s="558"/>
      <c r="H98" s="558"/>
      <c r="I98" s="558"/>
      <c r="J98" s="558"/>
      <c r="K98" s="558"/>
      <c r="L98" s="558"/>
      <c r="M98" s="558"/>
      <c r="N98" s="558"/>
      <c r="O98" s="558"/>
      <c r="P98" s="558"/>
      <c r="Q98" s="543"/>
      <c r="R98" s="543"/>
      <c r="T98" s="449">
        <f t="shared" si="5"/>
        <v>0</v>
      </c>
    </row>
    <row r="99" spans="1:20" ht="25.5" customHeight="1" hidden="1">
      <c r="A99" s="435" t="s">
        <v>687</v>
      </c>
      <c r="B99" s="436" t="s">
        <v>917</v>
      </c>
      <c r="C99" s="437" t="s">
        <v>85</v>
      </c>
      <c r="D99" s="615"/>
      <c r="E99" s="615"/>
      <c r="F99" s="615"/>
      <c r="G99" s="558"/>
      <c r="H99" s="558"/>
      <c r="I99" s="553"/>
      <c r="J99" s="553"/>
      <c r="K99" s="553"/>
      <c r="L99" s="553"/>
      <c r="M99" s="553"/>
      <c r="N99" s="553"/>
      <c r="O99" s="553"/>
      <c r="P99" s="553"/>
      <c r="Q99" s="543" t="e">
        <v>#DIV/0!</v>
      </c>
      <c r="R99" s="543" t="e">
        <v>#DIV/0!</v>
      </c>
      <c r="T99" s="449">
        <f t="shared" si="5"/>
        <v>0</v>
      </c>
    </row>
    <row r="100" spans="1:20" ht="15" customHeight="1" hidden="1">
      <c r="A100" s="435"/>
      <c r="B100" s="447" t="s">
        <v>918</v>
      </c>
      <c r="C100" s="437" t="s">
        <v>21</v>
      </c>
      <c r="D100" s="615"/>
      <c r="E100" s="615"/>
      <c r="F100" s="615"/>
      <c r="G100" s="615"/>
      <c r="H100" s="558"/>
      <c r="I100" s="553"/>
      <c r="J100" s="553"/>
      <c r="K100" s="553"/>
      <c r="L100" s="553"/>
      <c r="M100" s="553"/>
      <c r="N100" s="553"/>
      <c r="O100" s="553"/>
      <c r="P100" s="553"/>
      <c r="Q100" s="543" t="e">
        <v>#DIV/0!</v>
      </c>
      <c r="R100" s="543" t="e">
        <v>#DIV/0!</v>
      </c>
      <c r="T100" s="449">
        <f t="shared" si="5"/>
        <v>0</v>
      </c>
    </row>
    <row r="101" spans="1:20" ht="17.25" customHeight="1">
      <c r="A101" s="435"/>
      <c r="B101" s="436" t="s">
        <v>919</v>
      </c>
      <c r="C101" s="437" t="s">
        <v>85</v>
      </c>
      <c r="D101" s="616">
        <v>72</v>
      </c>
      <c r="E101" s="616">
        <v>82</v>
      </c>
      <c r="F101" s="616">
        <f>SUM(G101:P101)</f>
        <v>92</v>
      </c>
      <c r="G101" s="617">
        <v>3</v>
      </c>
      <c r="H101" s="618">
        <v>9</v>
      </c>
      <c r="I101" s="619">
        <v>18</v>
      </c>
      <c r="J101" s="619">
        <v>10</v>
      </c>
      <c r="K101" s="619">
        <v>12</v>
      </c>
      <c r="L101" s="619">
        <v>8</v>
      </c>
      <c r="M101" s="619">
        <v>9</v>
      </c>
      <c r="N101" s="619">
        <v>8</v>
      </c>
      <c r="O101" s="619">
        <v>7</v>
      </c>
      <c r="P101" s="619">
        <v>8</v>
      </c>
      <c r="Q101" s="543">
        <f>E101-D101</f>
        <v>10</v>
      </c>
      <c r="R101" s="543">
        <f>F101-E101</f>
        <v>10</v>
      </c>
      <c r="T101" s="449">
        <f t="shared" si="5"/>
        <v>92</v>
      </c>
    </row>
    <row r="102" spans="1:20" ht="15">
      <c r="A102" s="435"/>
      <c r="B102" s="436" t="s">
        <v>920</v>
      </c>
      <c r="C102" s="437" t="s">
        <v>21</v>
      </c>
      <c r="D102" s="545">
        <v>55.38461538461539</v>
      </c>
      <c r="E102" s="545">
        <v>63.07692307692307</v>
      </c>
      <c r="F102" s="545">
        <v>70.76923076923077</v>
      </c>
      <c r="G102" s="620">
        <v>100</v>
      </c>
      <c r="H102" s="620">
        <v>100</v>
      </c>
      <c r="I102" s="621">
        <v>72</v>
      </c>
      <c r="J102" s="621">
        <v>71.42857142857143</v>
      </c>
      <c r="K102" s="621">
        <v>63.1578947368421</v>
      </c>
      <c r="L102" s="621">
        <v>80</v>
      </c>
      <c r="M102" s="621">
        <v>75</v>
      </c>
      <c r="N102" s="621">
        <v>66.66666666666667</v>
      </c>
      <c r="O102" s="621">
        <v>63.63636363636363</v>
      </c>
      <c r="P102" s="621">
        <v>53.333333333333336</v>
      </c>
      <c r="Q102" s="543">
        <f>E102-D102</f>
        <v>7.692307692307686</v>
      </c>
      <c r="R102" s="543">
        <f>F102-E102</f>
        <v>7.6923076923077005</v>
      </c>
      <c r="T102" s="449">
        <f t="shared" si="5"/>
        <v>745.2228298017772</v>
      </c>
    </row>
    <row r="103" spans="1:20" ht="15">
      <c r="A103" s="430" t="s">
        <v>921</v>
      </c>
      <c r="B103" s="431" t="s">
        <v>922</v>
      </c>
      <c r="C103" s="437"/>
      <c r="D103" s="561"/>
      <c r="E103" s="561"/>
      <c r="F103" s="561"/>
      <c r="G103" s="615"/>
      <c r="H103" s="542"/>
      <c r="I103" s="542"/>
      <c r="J103" s="542"/>
      <c r="K103" s="542"/>
      <c r="L103" s="542"/>
      <c r="M103" s="542"/>
      <c r="N103" s="542"/>
      <c r="O103" s="542"/>
      <c r="P103" s="542"/>
      <c r="Q103" s="543"/>
      <c r="R103" s="543"/>
      <c r="T103" s="449">
        <f t="shared" si="5"/>
        <v>0</v>
      </c>
    </row>
    <row r="104" spans="1:20" ht="15">
      <c r="A104" s="430">
        <v>1</v>
      </c>
      <c r="B104" s="431" t="s">
        <v>923</v>
      </c>
      <c r="C104" s="437"/>
      <c r="D104" s="545"/>
      <c r="E104" s="545"/>
      <c r="F104" s="545"/>
      <c r="G104" s="558"/>
      <c r="H104" s="558"/>
      <c r="I104" s="553"/>
      <c r="J104" s="553"/>
      <c r="K104" s="553"/>
      <c r="L104" s="553"/>
      <c r="M104" s="553"/>
      <c r="N104" s="553"/>
      <c r="O104" s="553"/>
      <c r="P104" s="553"/>
      <c r="Q104" s="543"/>
      <c r="R104" s="543"/>
      <c r="T104" s="449">
        <f t="shared" si="5"/>
        <v>0</v>
      </c>
    </row>
    <row r="105" spans="1:20" s="578" customFormat="1" ht="14.25">
      <c r="A105" s="572" t="s">
        <v>730</v>
      </c>
      <c r="B105" s="573" t="s">
        <v>924</v>
      </c>
      <c r="C105" s="574" t="s">
        <v>196</v>
      </c>
      <c r="D105" s="586">
        <v>566953</v>
      </c>
      <c r="E105" s="586">
        <v>576658</v>
      </c>
      <c r="F105" s="586">
        <f>SUM(G105:P105)</f>
        <v>586442</v>
      </c>
      <c r="G105" s="622">
        <v>11509</v>
      </c>
      <c r="H105" s="622">
        <v>59633</v>
      </c>
      <c r="I105" s="622">
        <v>116875</v>
      </c>
      <c r="J105" s="622">
        <v>65367</v>
      </c>
      <c r="K105" s="622">
        <v>84734</v>
      </c>
      <c r="L105" s="622">
        <v>48181</v>
      </c>
      <c r="M105" s="622">
        <v>54338</v>
      </c>
      <c r="N105" s="622">
        <v>48173</v>
      </c>
      <c r="O105" s="622">
        <v>43871</v>
      </c>
      <c r="P105" s="622">
        <v>53761</v>
      </c>
      <c r="Q105" s="576">
        <f>E105/D105*100</f>
        <v>101.71178210539497</v>
      </c>
      <c r="R105" s="576">
        <f>F105/E105*100</f>
        <v>101.6966728979742</v>
      </c>
      <c r="T105" s="579">
        <f t="shared" si="5"/>
        <v>586442</v>
      </c>
    </row>
    <row r="106" spans="1:20" ht="15">
      <c r="A106" s="440"/>
      <c r="B106" s="436" t="s">
        <v>925</v>
      </c>
      <c r="C106" s="437" t="s">
        <v>836</v>
      </c>
      <c r="D106" s="556">
        <v>23.3</v>
      </c>
      <c r="E106" s="556">
        <v>22.9</v>
      </c>
      <c r="F106" s="556">
        <v>22.4</v>
      </c>
      <c r="G106" s="623"/>
      <c r="H106" s="623"/>
      <c r="I106" s="623"/>
      <c r="J106" s="623"/>
      <c r="K106" s="623"/>
      <c r="L106" s="623"/>
      <c r="M106" s="623"/>
      <c r="N106" s="623"/>
      <c r="O106" s="623"/>
      <c r="P106" s="623"/>
      <c r="Q106" s="543">
        <f>E106-D106</f>
        <v>-0.40000000000000213</v>
      </c>
      <c r="R106" s="543">
        <f>F106-E106</f>
        <v>-0.5</v>
      </c>
      <c r="T106" s="449">
        <f t="shared" si="5"/>
        <v>0</v>
      </c>
    </row>
    <row r="107" spans="1:20" ht="15">
      <c r="A107" s="441"/>
      <c r="B107" s="436" t="s">
        <v>926</v>
      </c>
      <c r="C107" s="437" t="s">
        <v>836</v>
      </c>
      <c r="D107" s="624">
        <v>16.35</v>
      </c>
      <c r="E107" s="624">
        <v>16.15</v>
      </c>
      <c r="F107" s="624">
        <v>15.649999999999999</v>
      </c>
      <c r="G107" s="1021"/>
      <c r="H107" s="623"/>
      <c r="I107" s="623"/>
      <c r="J107" s="623"/>
      <c r="K107" s="623"/>
      <c r="L107" s="623"/>
      <c r="M107" s="623"/>
      <c r="N107" s="623"/>
      <c r="O107" s="623"/>
      <c r="P107" s="623"/>
      <c r="Q107" s="564">
        <f aca="true" t="shared" si="13" ref="Q107:R112">E107-D107</f>
        <v>-0.20000000000000284</v>
      </c>
      <c r="R107" s="564">
        <f t="shared" si="13"/>
        <v>-0.5</v>
      </c>
      <c r="T107" s="449">
        <f t="shared" si="5"/>
        <v>0</v>
      </c>
    </row>
    <row r="108" spans="1:20" ht="15" customHeight="1" hidden="1">
      <c r="A108" s="441"/>
      <c r="B108" s="436" t="s">
        <v>927</v>
      </c>
      <c r="C108" s="437"/>
      <c r="D108" s="625"/>
      <c r="E108" s="556"/>
      <c r="F108" s="625"/>
      <c r="G108" s="557"/>
      <c r="H108" s="626"/>
      <c r="I108" s="553"/>
      <c r="J108" s="553"/>
      <c r="K108" s="553"/>
      <c r="L108" s="553"/>
      <c r="M108" s="553"/>
      <c r="N108" s="607"/>
      <c r="O108" s="553"/>
      <c r="P108" s="553"/>
      <c r="Q108" s="543">
        <f t="shared" si="13"/>
        <v>0</v>
      </c>
      <c r="R108" s="543">
        <f t="shared" si="13"/>
        <v>0</v>
      </c>
      <c r="T108" s="449">
        <f t="shared" si="5"/>
        <v>0</v>
      </c>
    </row>
    <row r="109" spans="1:20" ht="15">
      <c r="A109" s="441"/>
      <c r="B109" s="436" t="s">
        <v>928</v>
      </c>
      <c r="C109" s="437" t="s">
        <v>836</v>
      </c>
      <c r="D109" s="562">
        <v>0.5</v>
      </c>
      <c r="E109" s="562">
        <v>0.4</v>
      </c>
      <c r="F109" s="562">
        <v>0.5</v>
      </c>
      <c r="G109" s="626"/>
      <c r="H109" s="626"/>
      <c r="I109" s="553"/>
      <c r="J109" s="553"/>
      <c r="K109" s="553"/>
      <c r="L109" s="553"/>
      <c r="M109" s="553"/>
      <c r="N109" s="553"/>
      <c r="O109" s="553"/>
      <c r="P109" s="553"/>
      <c r="Q109" s="543">
        <f t="shared" si="13"/>
        <v>-0.09999999999999998</v>
      </c>
      <c r="R109" s="543">
        <f t="shared" si="13"/>
        <v>0.09999999999999998</v>
      </c>
      <c r="T109" s="449">
        <f t="shared" si="5"/>
        <v>0</v>
      </c>
    </row>
    <row r="110" spans="1:20" ht="15" customHeight="1" hidden="1">
      <c r="A110" s="441"/>
      <c r="B110" s="436"/>
      <c r="C110" s="437"/>
      <c r="D110" s="562"/>
      <c r="E110" s="562"/>
      <c r="F110" s="562"/>
      <c r="G110" s="626"/>
      <c r="H110" s="626"/>
      <c r="I110" s="553"/>
      <c r="J110" s="553"/>
      <c r="K110" s="553"/>
      <c r="L110" s="553"/>
      <c r="M110" s="553"/>
      <c r="N110" s="553"/>
      <c r="O110" s="553"/>
      <c r="P110" s="553"/>
      <c r="Q110" s="543">
        <f t="shared" si="13"/>
        <v>0</v>
      </c>
      <c r="R110" s="543">
        <f t="shared" si="13"/>
        <v>0</v>
      </c>
      <c r="T110" s="449">
        <f t="shared" si="5"/>
        <v>0</v>
      </c>
    </row>
    <row r="111" spans="1:20" ht="15">
      <c r="A111" s="441"/>
      <c r="B111" s="436" t="s">
        <v>929</v>
      </c>
      <c r="C111" s="437" t="s">
        <v>21</v>
      </c>
      <c r="D111" s="627">
        <v>1.71</v>
      </c>
      <c r="E111" s="627">
        <v>1.71</v>
      </c>
      <c r="F111" s="627">
        <v>1.7</v>
      </c>
      <c r="G111" s="626"/>
      <c r="H111" s="626"/>
      <c r="I111" s="553"/>
      <c r="J111" s="553"/>
      <c r="K111" s="553"/>
      <c r="L111" s="543"/>
      <c r="M111" s="553"/>
      <c r="N111" s="584"/>
      <c r="O111" s="553"/>
      <c r="P111" s="553"/>
      <c r="Q111" s="564">
        <f t="shared" si="13"/>
        <v>0</v>
      </c>
      <c r="R111" s="564">
        <f t="shared" si="13"/>
        <v>-0.010000000000000009</v>
      </c>
      <c r="T111" s="449">
        <f t="shared" si="5"/>
        <v>0</v>
      </c>
    </row>
    <row r="112" spans="1:20" ht="38.25">
      <c r="A112" s="442"/>
      <c r="B112" s="436" t="s">
        <v>930</v>
      </c>
      <c r="C112" s="437" t="s">
        <v>931</v>
      </c>
      <c r="D112" s="609">
        <v>109.2</v>
      </c>
      <c r="E112" s="609">
        <v>109.5</v>
      </c>
      <c r="F112" s="609">
        <v>109</v>
      </c>
      <c r="G112" s="626"/>
      <c r="H112" s="626"/>
      <c r="I112" s="553"/>
      <c r="J112" s="553"/>
      <c r="K112" s="553"/>
      <c r="L112" s="553"/>
      <c r="M112" s="623"/>
      <c r="N112" s="553"/>
      <c r="O112" s="553"/>
      <c r="P112" s="553"/>
      <c r="Q112" s="564">
        <f t="shared" si="13"/>
        <v>0.29999999999999716</v>
      </c>
      <c r="R112" s="564">
        <f t="shared" si="13"/>
        <v>-0.5</v>
      </c>
      <c r="T112" s="449">
        <f t="shared" si="5"/>
        <v>0</v>
      </c>
    </row>
    <row r="113" spans="1:20" ht="15">
      <c r="A113" s="430" t="s">
        <v>737</v>
      </c>
      <c r="B113" s="431" t="s">
        <v>932</v>
      </c>
      <c r="C113" s="437"/>
      <c r="D113" s="586"/>
      <c r="E113" s="586"/>
      <c r="F113" s="586"/>
      <c r="G113" s="586"/>
      <c r="H113" s="586"/>
      <c r="I113" s="586"/>
      <c r="J113" s="586"/>
      <c r="K113" s="586"/>
      <c r="L113" s="586"/>
      <c r="M113" s="586"/>
      <c r="N113" s="586"/>
      <c r="O113" s="586"/>
      <c r="P113" s="586"/>
      <c r="Q113" s="543"/>
      <c r="R113" s="543"/>
      <c r="T113" s="449">
        <f aca="true" t="shared" si="14" ref="T113:T127">SUM(G113:P113)</f>
        <v>0</v>
      </c>
    </row>
    <row r="114" spans="1:20" s="632" customFormat="1" ht="15">
      <c r="A114" s="628"/>
      <c r="B114" s="629" t="s">
        <v>933</v>
      </c>
      <c r="C114" s="630" t="s">
        <v>196</v>
      </c>
      <c r="D114" s="571">
        <v>283786</v>
      </c>
      <c r="E114" s="571">
        <v>288920</v>
      </c>
      <c r="F114" s="571">
        <f>SUM(G114:P114)</f>
        <v>293702</v>
      </c>
      <c r="G114" s="631">
        <v>5682</v>
      </c>
      <c r="H114" s="631">
        <v>29780</v>
      </c>
      <c r="I114" s="631">
        <v>58252</v>
      </c>
      <c r="J114" s="631">
        <v>33274</v>
      </c>
      <c r="K114" s="631">
        <v>42303</v>
      </c>
      <c r="L114" s="631">
        <v>24042</v>
      </c>
      <c r="M114" s="631">
        <v>27169</v>
      </c>
      <c r="N114" s="631">
        <v>24173</v>
      </c>
      <c r="O114" s="631">
        <v>22003</v>
      </c>
      <c r="P114" s="631">
        <v>27024</v>
      </c>
      <c r="Q114" s="543">
        <f>E114/D114*100</f>
        <v>101.80910968123868</v>
      </c>
      <c r="R114" s="543">
        <f>F114/E114*100</f>
        <v>101.65512944759796</v>
      </c>
      <c r="T114" s="633">
        <f t="shared" si="14"/>
        <v>293702</v>
      </c>
    </row>
    <row r="115" spans="1:20" s="632" customFormat="1" ht="15">
      <c r="A115" s="628"/>
      <c r="B115" s="629" t="s">
        <v>934</v>
      </c>
      <c r="C115" s="630" t="s">
        <v>21</v>
      </c>
      <c r="D115" s="552">
        <f>D114/D105*100</f>
        <v>50.054590063021095</v>
      </c>
      <c r="E115" s="552">
        <f aca="true" t="shared" si="15" ref="E115:P115">E114/E105*100</f>
        <v>50.10248708940135</v>
      </c>
      <c r="F115" s="552">
        <f t="shared" si="15"/>
        <v>50.08202004631319</v>
      </c>
      <c r="G115" s="552">
        <f t="shared" si="15"/>
        <v>49.37005821530976</v>
      </c>
      <c r="H115" s="552">
        <f t="shared" si="15"/>
        <v>49.93879227944259</v>
      </c>
      <c r="I115" s="552">
        <f t="shared" si="15"/>
        <v>49.841283422459895</v>
      </c>
      <c r="J115" s="552">
        <f t="shared" si="15"/>
        <v>50.90336102314623</v>
      </c>
      <c r="K115" s="552">
        <f t="shared" si="15"/>
        <v>49.92446951636887</v>
      </c>
      <c r="L115" s="552">
        <f t="shared" si="15"/>
        <v>49.89933791328532</v>
      </c>
      <c r="M115" s="552">
        <f t="shared" si="15"/>
        <v>50</v>
      </c>
      <c r="N115" s="552">
        <f t="shared" si="15"/>
        <v>50.17956116496792</v>
      </c>
      <c r="O115" s="552">
        <f t="shared" si="15"/>
        <v>50.15386018098516</v>
      </c>
      <c r="P115" s="552">
        <f t="shared" si="15"/>
        <v>50.26692211826417</v>
      </c>
      <c r="Q115" s="564">
        <f>E115-D115</f>
        <v>0.04789702638025517</v>
      </c>
      <c r="R115" s="564">
        <f>F115-E115</f>
        <v>-0.020467043088160608</v>
      </c>
      <c r="T115" s="633">
        <f t="shared" si="14"/>
        <v>500.4776458342299</v>
      </c>
    </row>
    <row r="116" spans="1:20" s="632" customFormat="1" ht="15">
      <c r="A116" s="628"/>
      <c r="B116" s="629" t="s">
        <v>935</v>
      </c>
      <c r="C116" s="630" t="s">
        <v>196</v>
      </c>
      <c r="D116" s="571">
        <v>283167</v>
      </c>
      <c r="E116" s="571">
        <v>287738</v>
      </c>
      <c r="F116" s="571">
        <f>SUM(G116:P116)</f>
        <v>292740</v>
      </c>
      <c r="G116" s="634">
        <v>5827</v>
      </c>
      <c r="H116" s="634">
        <v>29853</v>
      </c>
      <c r="I116" s="634">
        <v>58623</v>
      </c>
      <c r="J116" s="634">
        <v>32093</v>
      </c>
      <c r="K116" s="634">
        <v>42431</v>
      </c>
      <c r="L116" s="634">
        <v>24139</v>
      </c>
      <c r="M116" s="634">
        <v>27169</v>
      </c>
      <c r="N116" s="634">
        <v>24000</v>
      </c>
      <c r="O116" s="634">
        <v>21868</v>
      </c>
      <c r="P116" s="634">
        <v>26737</v>
      </c>
      <c r="Q116" s="543">
        <f>E116/D116*100</f>
        <v>101.61424177252292</v>
      </c>
      <c r="R116" s="543">
        <f>F116/E116*100</f>
        <v>101.73838700484468</v>
      </c>
      <c r="T116" s="633">
        <f t="shared" si="14"/>
        <v>292740</v>
      </c>
    </row>
    <row r="117" spans="1:20" s="632" customFormat="1" ht="15">
      <c r="A117" s="628"/>
      <c r="B117" s="629" t="s">
        <v>934</v>
      </c>
      <c r="C117" s="630" t="s">
        <v>21</v>
      </c>
      <c r="D117" s="552">
        <f>100-D115</f>
        <v>49.945409936978905</v>
      </c>
      <c r="E117" s="552">
        <f aca="true" t="shared" si="16" ref="E117:P117">100-E115</f>
        <v>49.89751291059865</v>
      </c>
      <c r="F117" s="552">
        <f t="shared" si="16"/>
        <v>49.91797995368681</v>
      </c>
      <c r="G117" s="552">
        <f t="shared" si="16"/>
        <v>50.62994178469024</v>
      </c>
      <c r="H117" s="552">
        <f t="shared" si="16"/>
        <v>50.06120772055741</v>
      </c>
      <c r="I117" s="552">
        <f t="shared" si="16"/>
        <v>50.158716577540105</v>
      </c>
      <c r="J117" s="552">
        <f t="shared" si="16"/>
        <v>49.09663897685377</v>
      </c>
      <c r="K117" s="552">
        <f t="shared" si="16"/>
        <v>50.07553048363113</v>
      </c>
      <c r="L117" s="552">
        <f t="shared" si="16"/>
        <v>50.10066208671468</v>
      </c>
      <c r="M117" s="552">
        <f t="shared" si="16"/>
        <v>50</v>
      </c>
      <c r="N117" s="552">
        <f t="shared" si="16"/>
        <v>49.82043883503208</v>
      </c>
      <c r="O117" s="552">
        <f t="shared" si="16"/>
        <v>49.84613981901484</v>
      </c>
      <c r="P117" s="552">
        <f t="shared" si="16"/>
        <v>49.73307788173583</v>
      </c>
      <c r="Q117" s="564">
        <f>E117-D117</f>
        <v>-0.04789702638025517</v>
      </c>
      <c r="R117" s="564">
        <f>F117-E117</f>
        <v>0.020467043088160608</v>
      </c>
      <c r="T117" s="633">
        <f t="shared" si="14"/>
        <v>499.5223541657701</v>
      </c>
    </row>
    <row r="118" spans="1:20" ht="15">
      <c r="A118" s="430" t="s">
        <v>745</v>
      </c>
      <c r="B118" s="431" t="s">
        <v>936</v>
      </c>
      <c r="C118" s="437"/>
      <c r="D118" s="584"/>
      <c r="E118" s="584"/>
      <c r="F118" s="584"/>
      <c r="G118" s="584"/>
      <c r="H118" s="584"/>
      <c r="I118" s="584"/>
      <c r="J118" s="584"/>
      <c r="K118" s="584"/>
      <c r="L118" s="584"/>
      <c r="M118" s="584"/>
      <c r="N118" s="584"/>
      <c r="O118" s="584"/>
      <c r="P118" s="584"/>
      <c r="Q118" s="543"/>
      <c r="R118" s="543"/>
      <c r="T118" s="449">
        <f t="shared" si="14"/>
        <v>0</v>
      </c>
    </row>
    <row r="119" spans="1:20" s="632" customFormat="1" ht="15">
      <c r="A119" s="628"/>
      <c r="B119" s="629" t="s">
        <v>937</v>
      </c>
      <c r="C119" s="630" t="s">
        <v>196</v>
      </c>
      <c r="D119" s="635">
        <v>85581</v>
      </c>
      <c r="E119" s="635">
        <v>87179</v>
      </c>
      <c r="F119" s="584">
        <f>SUM(G119:P119)</f>
        <v>88795</v>
      </c>
      <c r="G119" s="634">
        <v>6175</v>
      </c>
      <c r="H119" s="634">
        <v>56158</v>
      </c>
      <c r="I119" s="562">
        <v>0</v>
      </c>
      <c r="J119" s="634">
        <v>3433</v>
      </c>
      <c r="K119" s="634">
        <v>9025</v>
      </c>
      <c r="L119" s="634">
        <v>5229</v>
      </c>
      <c r="M119" s="634">
        <v>3970</v>
      </c>
      <c r="N119" s="634">
        <v>4805</v>
      </c>
      <c r="O119" s="562">
        <v>0</v>
      </c>
      <c r="P119" s="562">
        <v>0</v>
      </c>
      <c r="Q119" s="543">
        <f>E119/D119*100</f>
        <v>101.86723688669215</v>
      </c>
      <c r="R119" s="543">
        <f>F119/E119*100</f>
        <v>101.85365741749732</v>
      </c>
      <c r="T119" s="633">
        <f t="shared" si="14"/>
        <v>88795</v>
      </c>
    </row>
    <row r="120" spans="1:20" s="632" customFormat="1" ht="15">
      <c r="A120" s="628"/>
      <c r="B120" s="629" t="s">
        <v>934</v>
      </c>
      <c r="C120" s="630" t="s">
        <v>21</v>
      </c>
      <c r="D120" s="552">
        <f>D119/D105*100</f>
        <v>15.094902046554123</v>
      </c>
      <c r="E120" s="552">
        <f aca="true" t="shared" si="17" ref="E120:P120">E119/E105*100</f>
        <v>15.117972871268586</v>
      </c>
      <c r="F120" s="552">
        <f t="shared" si="17"/>
        <v>15.141309797047278</v>
      </c>
      <c r="G120" s="552">
        <f t="shared" si="17"/>
        <v>53.6536623512034</v>
      </c>
      <c r="H120" s="552">
        <f t="shared" si="17"/>
        <v>94.17268961816444</v>
      </c>
      <c r="I120" s="562">
        <f t="shared" si="17"/>
        <v>0</v>
      </c>
      <c r="J120" s="552">
        <f t="shared" si="17"/>
        <v>5.251885507978032</v>
      </c>
      <c r="K120" s="552">
        <f t="shared" si="17"/>
        <v>10.650978355795784</v>
      </c>
      <c r="L120" s="552">
        <f t="shared" si="17"/>
        <v>10.85282580270231</v>
      </c>
      <c r="M120" s="552">
        <f t="shared" si="17"/>
        <v>7.306120946667158</v>
      </c>
      <c r="N120" s="552">
        <f t="shared" si="17"/>
        <v>9.974467025097047</v>
      </c>
      <c r="O120" s="562">
        <f t="shared" si="17"/>
        <v>0</v>
      </c>
      <c r="P120" s="562">
        <f t="shared" si="17"/>
        <v>0</v>
      </c>
      <c r="Q120" s="564">
        <f>E120-D120</f>
        <v>0.023070824714462645</v>
      </c>
      <c r="R120" s="564">
        <f>F120-E120</f>
        <v>0.02333692577869151</v>
      </c>
      <c r="T120" s="633">
        <f t="shared" si="14"/>
        <v>191.8626296076082</v>
      </c>
    </row>
    <row r="121" spans="1:20" s="632" customFormat="1" ht="15">
      <c r="A121" s="628"/>
      <c r="B121" s="629" t="s">
        <v>938</v>
      </c>
      <c r="C121" s="630" t="s">
        <v>196</v>
      </c>
      <c r="D121" s="635">
        <v>481372</v>
      </c>
      <c r="E121" s="635">
        <v>489479</v>
      </c>
      <c r="F121" s="584">
        <f>SUM(G121:P121)</f>
        <v>497647</v>
      </c>
      <c r="G121" s="635">
        <v>5334</v>
      </c>
      <c r="H121" s="635">
        <v>3475</v>
      </c>
      <c r="I121" s="635">
        <v>116875</v>
      </c>
      <c r="J121" s="635">
        <v>61934</v>
      </c>
      <c r="K121" s="635">
        <v>75709</v>
      </c>
      <c r="L121" s="635">
        <v>42952</v>
      </c>
      <c r="M121" s="635">
        <v>50368</v>
      </c>
      <c r="N121" s="635">
        <v>43368</v>
      </c>
      <c r="O121" s="635">
        <v>43871</v>
      </c>
      <c r="P121" s="635">
        <v>53761</v>
      </c>
      <c r="Q121" s="543">
        <f>E121/D121*100</f>
        <v>101.68414448700798</v>
      </c>
      <c r="R121" s="543">
        <f>F121/E121*100</f>
        <v>101.66871306021301</v>
      </c>
      <c r="T121" s="633">
        <f t="shared" si="14"/>
        <v>497647</v>
      </c>
    </row>
    <row r="122" spans="1:20" ht="15">
      <c r="A122" s="435"/>
      <c r="B122" s="436" t="s">
        <v>934</v>
      </c>
      <c r="C122" s="437" t="s">
        <v>21</v>
      </c>
      <c r="D122" s="552">
        <f>100-D120</f>
        <v>84.90509795344587</v>
      </c>
      <c r="E122" s="552">
        <f aca="true" t="shared" si="18" ref="E122:P122">100-E120</f>
        <v>84.88202712873141</v>
      </c>
      <c r="F122" s="552">
        <f t="shared" si="18"/>
        <v>84.85869020295272</v>
      </c>
      <c r="G122" s="552">
        <f t="shared" si="18"/>
        <v>46.3463376487966</v>
      </c>
      <c r="H122" s="552">
        <f t="shared" si="18"/>
        <v>5.827310381835559</v>
      </c>
      <c r="I122" s="549">
        <f t="shared" si="18"/>
        <v>100</v>
      </c>
      <c r="J122" s="552">
        <f t="shared" si="18"/>
        <v>94.74811449202197</v>
      </c>
      <c r="K122" s="552">
        <f t="shared" si="18"/>
        <v>89.34902164420421</v>
      </c>
      <c r="L122" s="552">
        <f t="shared" si="18"/>
        <v>89.14717419729769</v>
      </c>
      <c r="M122" s="552">
        <f t="shared" si="18"/>
        <v>92.69387905333284</v>
      </c>
      <c r="N122" s="552">
        <f t="shared" si="18"/>
        <v>90.02553297490296</v>
      </c>
      <c r="O122" s="549">
        <f t="shared" si="18"/>
        <v>100</v>
      </c>
      <c r="P122" s="549">
        <f t="shared" si="18"/>
        <v>100</v>
      </c>
      <c r="Q122" s="564">
        <f>E122-D122</f>
        <v>-0.023070824714466198</v>
      </c>
      <c r="R122" s="564">
        <f>F122-E122</f>
        <v>-0.023336925778693285</v>
      </c>
      <c r="T122" s="449">
        <f t="shared" si="14"/>
        <v>808.1373703923917</v>
      </c>
    </row>
    <row r="123" spans="1:20" ht="15">
      <c r="A123" s="430">
        <v>2</v>
      </c>
      <c r="B123" s="431" t="s">
        <v>939</v>
      </c>
      <c r="C123" s="437"/>
      <c r="D123" s="561"/>
      <c r="E123" s="561"/>
      <c r="F123" s="561"/>
      <c r="G123" s="636"/>
      <c r="H123" s="631"/>
      <c r="I123" s="553"/>
      <c r="J123" s="553"/>
      <c r="K123" s="553"/>
      <c r="L123" s="553"/>
      <c r="M123" s="553"/>
      <c r="N123" s="553"/>
      <c r="O123" s="553"/>
      <c r="P123" s="553"/>
      <c r="Q123" s="543"/>
      <c r="R123" s="543"/>
      <c r="T123" s="449">
        <f t="shared" si="14"/>
        <v>0</v>
      </c>
    </row>
    <row r="124" spans="1:20" ht="15">
      <c r="A124" s="440"/>
      <c r="B124" s="436" t="s">
        <v>940</v>
      </c>
      <c r="C124" s="437" t="s">
        <v>21</v>
      </c>
      <c r="D124" s="543">
        <v>26.7</v>
      </c>
      <c r="E124" s="543">
        <v>27</v>
      </c>
      <c r="F124" s="543">
        <v>27.1</v>
      </c>
      <c r="G124" s="542"/>
      <c r="H124" s="542"/>
      <c r="I124" s="543"/>
      <c r="J124" s="553"/>
      <c r="K124" s="553"/>
      <c r="L124" s="553"/>
      <c r="M124" s="543"/>
      <c r="N124" s="553"/>
      <c r="O124" s="553"/>
      <c r="P124" s="553"/>
      <c r="Q124" s="543">
        <f aca="true" t="shared" si="19" ref="Q124:R132">E124-D124</f>
        <v>0.3000000000000007</v>
      </c>
      <c r="R124" s="543">
        <f t="shared" si="19"/>
        <v>0.10000000000000142</v>
      </c>
      <c r="T124" s="449">
        <f t="shared" si="14"/>
        <v>0</v>
      </c>
    </row>
    <row r="125" spans="1:20" ht="15">
      <c r="A125" s="441"/>
      <c r="B125" s="436" t="s">
        <v>941</v>
      </c>
      <c r="C125" s="437" t="s">
        <v>21</v>
      </c>
      <c r="D125" s="543">
        <v>19.4</v>
      </c>
      <c r="E125" s="543">
        <v>19.8</v>
      </c>
      <c r="F125" s="543">
        <v>19.7</v>
      </c>
      <c r="G125" s="542"/>
      <c r="H125" s="542"/>
      <c r="I125" s="543"/>
      <c r="J125" s="553"/>
      <c r="K125" s="553"/>
      <c r="L125" s="553"/>
      <c r="M125" s="543"/>
      <c r="N125" s="553"/>
      <c r="O125" s="553"/>
      <c r="P125" s="553"/>
      <c r="Q125" s="543">
        <f t="shared" si="19"/>
        <v>0.40000000000000213</v>
      </c>
      <c r="R125" s="543">
        <f t="shared" si="19"/>
        <v>-0.10000000000000142</v>
      </c>
      <c r="T125" s="449">
        <f t="shared" si="14"/>
        <v>0</v>
      </c>
    </row>
    <row r="126" spans="1:20" ht="15.75" customHeight="1">
      <c r="A126" s="441"/>
      <c r="B126" s="436" t="s">
        <v>942</v>
      </c>
      <c r="C126" s="437" t="s">
        <v>21</v>
      </c>
      <c r="D126" s="556">
        <v>65.2</v>
      </c>
      <c r="E126" s="556">
        <v>69</v>
      </c>
      <c r="F126" s="556">
        <v>69</v>
      </c>
      <c r="G126" s="542"/>
      <c r="H126" s="542"/>
      <c r="I126" s="543"/>
      <c r="J126" s="543"/>
      <c r="K126" s="543"/>
      <c r="L126" s="543"/>
      <c r="M126" s="543"/>
      <c r="N126" s="543"/>
      <c r="O126" s="543"/>
      <c r="P126" s="553"/>
      <c r="Q126" s="543">
        <f t="shared" si="19"/>
        <v>3.799999999999997</v>
      </c>
      <c r="R126" s="543">
        <f t="shared" si="19"/>
        <v>0</v>
      </c>
      <c r="T126" s="449">
        <f t="shared" si="14"/>
        <v>0</v>
      </c>
    </row>
    <row r="127" spans="1:20" ht="25.5">
      <c r="A127" s="454"/>
      <c r="B127" s="436" t="s">
        <v>943</v>
      </c>
      <c r="C127" s="437" t="s">
        <v>21</v>
      </c>
      <c r="D127" s="556">
        <v>19.3</v>
      </c>
      <c r="E127" s="556">
        <v>19</v>
      </c>
      <c r="F127" s="556">
        <v>18.7</v>
      </c>
      <c r="G127" s="542"/>
      <c r="H127" s="626"/>
      <c r="I127" s="553"/>
      <c r="J127" s="553"/>
      <c r="K127" s="553"/>
      <c r="L127" s="543"/>
      <c r="M127" s="553"/>
      <c r="N127" s="553"/>
      <c r="O127" s="553"/>
      <c r="P127" s="553"/>
      <c r="Q127" s="543">
        <f t="shared" si="19"/>
        <v>-0.3000000000000007</v>
      </c>
      <c r="R127" s="543">
        <f t="shared" si="19"/>
        <v>-0.3000000000000007</v>
      </c>
      <c r="T127" s="449">
        <f t="shared" si="14"/>
        <v>0</v>
      </c>
    </row>
    <row r="128" spans="1:18" s="578" customFormat="1" ht="15.75" customHeight="1">
      <c r="A128" s="572" t="s">
        <v>944</v>
      </c>
      <c r="B128" s="573" t="s">
        <v>945</v>
      </c>
      <c r="C128" s="574" t="s">
        <v>21</v>
      </c>
      <c r="D128" s="637">
        <v>98.5</v>
      </c>
      <c r="E128" s="637">
        <v>98.7</v>
      </c>
      <c r="F128" s="637">
        <v>98.7</v>
      </c>
      <c r="G128" s="585"/>
      <c r="H128" s="585"/>
      <c r="I128" s="585"/>
      <c r="J128" s="585"/>
      <c r="K128" s="585"/>
      <c r="L128" s="585"/>
      <c r="M128" s="585"/>
      <c r="N128" s="585"/>
      <c r="O128" s="585"/>
      <c r="P128" s="585"/>
      <c r="Q128" s="576">
        <f t="shared" si="19"/>
        <v>0.20000000000000284</v>
      </c>
      <c r="R128" s="576">
        <f t="shared" si="19"/>
        <v>0</v>
      </c>
    </row>
    <row r="129" spans="1:18" ht="15" customHeight="1" hidden="1">
      <c r="A129" s="430"/>
      <c r="B129" s="431"/>
      <c r="C129" s="1027"/>
      <c r="D129" s="638"/>
      <c r="E129" s="637"/>
      <c r="F129" s="637"/>
      <c r="G129" s="585"/>
      <c r="H129" s="585"/>
      <c r="I129" s="585"/>
      <c r="J129" s="585"/>
      <c r="K129" s="585"/>
      <c r="L129" s="585"/>
      <c r="M129" s="585"/>
      <c r="N129" s="585"/>
      <c r="O129" s="585"/>
      <c r="P129" s="585"/>
      <c r="Q129" s="576">
        <f t="shared" si="19"/>
        <v>0</v>
      </c>
      <c r="R129" s="576">
        <f t="shared" si="19"/>
        <v>0</v>
      </c>
    </row>
    <row r="130" spans="1:18" ht="25.5">
      <c r="A130" s="430" t="s">
        <v>946</v>
      </c>
      <c r="B130" s="431" t="s">
        <v>947</v>
      </c>
      <c r="C130" s="1027"/>
      <c r="D130" s="637"/>
      <c r="E130" s="637"/>
      <c r="F130" s="637"/>
      <c r="G130" s="585"/>
      <c r="H130" s="585"/>
      <c r="I130" s="585"/>
      <c r="J130" s="585"/>
      <c r="K130" s="585"/>
      <c r="L130" s="585"/>
      <c r="M130" s="585"/>
      <c r="N130" s="585"/>
      <c r="O130" s="585"/>
      <c r="P130" s="585"/>
      <c r="Q130" s="576"/>
      <c r="R130" s="576"/>
    </row>
    <row r="131" spans="1:18" ht="25.5">
      <c r="A131" s="435">
        <v>1</v>
      </c>
      <c r="B131" s="436" t="s">
        <v>948</v>
      </c>
      <c r="C131" s="437" t="s">
        <v>21</v>
      </c>
      <c r="D131" s="639">
        <v>90</v>
      </c>
      <c r="E131" s="638">
        <v>90</v>
      </c>
      <c r="F131" s="638">
        <v>91</v>
      </c>
      <c r="G131" s="553"/>
      <c r="H131" s="553"/>
      <c r="I131" s="553"/>
      <c r="J131" s="553"/>
      <c r="K131" s="553"/>
      <c r="L131" s="553"/>
      <c r="M131" s="553"/>
      <c r="N131" s="553"/>
      <c r="O131" s="553"/>
      <c r="P131" s="553"/>
      <c r="Q131" s="543">
        <f t="shared" si="19"/>
        <v>0</v>
      </c>
      <c r="R131" s="543">
        <f t="shared" si="19"/>
        <v>1</v>
      </c>
    </row>
    <row r="132" spans="1:18" ht="25.5">
      <c r="A132" s="435">
        <v>2</v>
      </c>
      <c r="B132" s="436" t="s">
        <v>949</v>
      </c>
      <c r="C132" s="437" t="s">
        <v>21</v>
      </c>
      <c r="D132" s="544">
        <v>8.3</v>
      </c>
      <c r="E132" s="638">
        <v>5</v>
      </c>
      <c r="F132" s="640" t="s">
        <v>1282</v>
      </c>
      <c r="G132" s="553"/>
      <c r="H132" s="553"/>
      <c r="I132" s="553"/>
      <c r="J132" s="553"/>
      <c r="K132" s="553"/>
      <c r="L132" s="553"/>
      <c r="M132" s="553"/>
      <c r="N132" s="553"/>
      <c r="O132" s="553"/>
      <c r="P132" s="553"/>
      <c r="Q132" s="543">
        <f t="shared" si="19"/>
        <v>-3.3000000000000007</v>
      </c>
      <c r="R132" s="543"/>
    </row>
    <row r="133" spans="1:18" ht="38.25" customHeight="1" hidden="1">
      <c r="A133" s="435"/>
      <c r="B133" s="436" t="s">
        <v>950</v>
      </c>
      <c r="C133" s="437" t="s">
        <v>21</v>
      </c>
      <c r="D133" s="544">
        <v>27.2</v>
      </c>
      <c r="E133" s="638">
        <v>30</v>
      </c>
      <c r="F133" s="638">
        <v>34.8</v>
      </c>
      <c r="G133" s="553"/>
      <c r="H133" s="553"/>
      <c r="I133" s="553"/>
      <c r="J133" s="553"/>
      <c r="K133" s="553"/>
      <c r="L133" s="553"/>
      <c r="M133" s="553"/>
      <c r="N133" s="553"/>
      <c r="O133" s="553"/>
      <c r="P133" s="553"/>
      <c r="Q133" s="543">
        <v>1.1029411764705883</v>
      </c>
      <c r="R133" s="543">
        <v>1.16</v>
      </c>
    </row>
    <row r="134" spans="1:18" ht="38.25">
      <c r="A134" s="435">
        <v>3</v>
      </c>
      <c r="B134" s="436" t="s">
        <v>951</v>
      </c>
      <c r="C134" s="437" t="s">
        <v>196</v>
      </c>
      <c r="D134" s="641">
        <v>2772</v>
      </c>
      <c r="E134" s="608">
        <v>3000</v>
      </c>
      <c r="F134" s="608">
        <v>3480</v>
      </c>
      <c r="G134" s="553"/>
      <c r="H134" s="553"/>
      <c r="I134" s="553"/>
      <c r="J134" s="553"/>
      <c r="K134" s="553"/>
      <c r="L134" s="553"/>
      <c r="M134" s="553"/>
      <c r="N134" s="553"/>
      <c r="O134" s="553"/>
      <c r="P134" s="553"/>
      <c r="Q134" s="543">
        <f>E134/D134*100</f>
        <v>108.22510822510823</v>
      </c>
      <c r="R134" s="543">
        <f>F134/E134*100</f>
        <v>115.99999999999999</v>
      </c>
    </row>
    <row r="135" spans="1:18" s="444" customFormat="1" ht="25.5">
      <c r="A135" s="430" t="s">
        <v>1283</v>
      </c>
      <c r="B135" s="431" t="s">
        <v>1212</v>
      </c>
      <c r="C135" s="641"/>
      <c r="D135" s="641"/>
      <c r="E135" s="641"/>
      <c r="F135" s="641"/>
      <c r="G135" s="641"/>
      <c r="H135" s="641"/>
      <c r="I135" s="641"/>
      <c r="J135" s="641"/>
      <c r="K135" s="641"/>
      <c r="L135" s="641"/>
      <c r="M135" s="641"/>
      <c r="N135" s="641"/>
      <c r="O135" s="641"/>
      <c r="P135" s="641"/>
      <c r="Q135" s="641"/>
      <c r="R135" s="641"/>
    </row>
    <row r="136" spans="1:18" ht="15">
      <c r="A136" s="435">
        <v>1</v>
      </c>
      <c r="B136" s="436" t="s">
        <v>1284</v>
      </c>
      <c r="C136" s="437" t="s">
        <v>21</v>
      </c>
      <c r="D136" s="544">
        <v>94</v>
      </c>
      <c r="E136" s="544">
        <v>94.1</v>
      </c>
      <c r="F136" s="544">
        <v>95</v>
      </c>
      <c r="G136" s="544"/>
      <c r="H136" s="544"/>
      <c r="I136" s="544"/>
      <c r="J136" s="544"/>
      <c r="K136" s="544"/>
      <c r="L136" s="544"/>
      <c r="M136" s="544"/>
      <c r="N136" s="544"/>
      <c r="O136" s="544"/>
      <c r="P136" s="544"/>
      <c r="Q136" s="544">
        <f>E136-D136</f>
        <v>0.09999999999999432</v>
      </c>
      <c r="R136" s="544">
        <f>F136-E136</f>
        <v>0.9000000000000057</v>
      </c>
    </row>
    <row r="137" spans="1:18" ht="15">
      <c r="A137" s="435">
        <v>2</v>
      </c>
      <c r="B137" s="436" t="s">
        <v>1285</v>
      </c>
      <c r="C137" s="437" t="s">
        <v>21</v>
      </c>
      <c r="D137" s="544">
        <v>93.7</v>
      </c>
      <c r="E137" s="544">
        <v>94.1</v>
      </c>
      <c r="F137" s="544">
        <v>95</v>
      </c>
      <c r="G137" s="544"/>
      <c r="H137" s="544"/>
      <c r="I137" s="544"/>
      <c r="J137" s="544"/>
      <c r="K137" s="544"/>
      <c r="L137" s="544"/>
      <c r="M137" s="544"/>
      <c r="N137" s="544"/>
      <c r="O137" s="544"/>
      <c r="P137" s="544"/>
      <c r="Q137" s="544">
        <f aca="true" t="shared" si="20" ref="Q137:R142">E137-D137</f>
        <v>0.3999999999999915</v>
      </c>
      <c r="R137" s="544">
        <f t="shared" si="20"/>
        <v>0.9000000000000057</v>
      </c>
    </row>
    <row r="138" spans="1:18" ht="15">
      <c r="A138" s="435">
        <v>3</v>
      </c>
      <c r="B138" s="436" t="s">
        <v>1286</v>
      </c>
      <c r="C138" s="437" t="s">
        <v>21</v>
      </c>
      <c r="D138" s="544">
        <v>91</v>
      </c>
      <c r="E138" s="544">
        <v>95</v>
      </c>
      <c r="F138" s="544">
        <v>95</v>
      </c>
      <c r="G138" s="544"/>
      <c r="H138" s="544"/>
      <c r="I138" s="544"/>
      <c r="J138" s="544"/>
      <c r="K138" s="544"/>
      <c r="L138" s="544"/>
      <c r="M138" s="544"/>
      <c r="N138" s="544"/>
      <c r="O138" s="544"/>
      <c r="P138" s="544"/>
      <c r="Q138" s="544">
        <f t="shared" si="20"/>
        <v>4</v>
      </c>
      <c r="R138" s="544">
        <f t="shared" si="20"/>
        <v>0</v>
      </c>
    </row>
    <row r="139" spans="1:18" ht="15">
      <c r="A139" s="435">
        <v>4</v>
      </c>
      <c r="B139" s="436" t="s">
        <v>1287</v>
      </c>
      <c r="C139" s="437" t="s">
        <v>21</v>
      </c>
      <c r="D139" s="544">
        <v>94.5</v>
      </c>
      <c r="E139" s="544">
        <v>95</v>
      </c>
      <c r="F139" s="544">
        <v>95</v>
      </c>
      <c r="G139" s="544"/>
      <c r="H139" s="544"/>
      <c r="I139" s="544"/>
      <c r="J139" s="544"/>
      <c r="K139" s="544"/>
      <c r="L139" s="544"/>
      <c r="M139" s="544"/>
      <c r="N139" s="544"/>
      <c r="O139" s="544"/>
      <c r="P139" s="544"/>
      <c r="Q139" s="544">
        <f t="shared" si="20"/>
        <v>0.5</v>
      </c>
      <c r="R139" s="544">
        <f t="shared" si="20"/>
        <v>0</v>
      </c>
    </row>
    <row r="140" spans="1:18" ht="25.5">
      <c r="A140" s="435">
        <v>5</v>
      </c>
      <c r="B140" s="436" t="s">
        <v>1288</v>
      </c>
      <c r="C140" s="437" t="s">
        <v>21</v>
      </c>
      <c r="D140" s="544"/>
      <c r="E140" s="544">
        <v>48.3</v>
      </c>
      <c r="F140" s="544">
        <v>50</v>
      </c>
      <c r="G140" s="544"/>
      <c r="H140" s="544"/>
      <c r="I140" s="544"/>
      <c r="J140" s="544"/>
      <c r="K140" s="544"/>
      <c r="L140" s="544"/>
      <c r="M140" s="544"/>
      <c r="N140" s="544"/>
      <c r="O140" s="544"/>
      <c r="P140" s="544"/>
      <c r="Q140" s="544"/>
      <c r="R140" s="544">
        <f t="shared" si="20"/>
        <v>1.7000000000000028</v>
      </c>
    </row>
    <row r="141" spans="1:18" ht="15">
      <c r="A141" s="435">
        <v>6</v>
      </c>
      <c r="B141" s="436" t="s">
        <v>1289</v>
      </c>
      <c r="C141" s="437" t="s">
        <v>21</v>
      </c>
      <c r="D141" s="544">
        <v>56.1</v>
      </c>
      <c r="E141" s="544">
        <v>58</v>
      </c>
      <c r="F141" s="544">
        <v>60</v>
      </c>
      <c r="G141" s="544"/>
      <c r="H141" s="544"/>
      <c r="I141" s="544"/>
      <c r="J141" s="544"/>
      <c r="K141" s="544"/>
      <c r="L141" s="544"/>
      <c r="M141" s="544"/>
      <c r="N141" s="544"/>
      <c r="O141" s="544"/>
      <c r="P141" s="544"/>
      <c r="Q141" s="544">
        <f t="shared" si="20"/>
        <v>1.8999999999999986</v>
      </c>
      <c r="R141" s="544">
        <f t="shared" si="20"/>
        <v>2</v>
      </c>
    </row>
    <row r="142" spans="1:18" ht="25.5">
      <c r="A142" s="435">
        <v>7</v>
      </c>
      <c r="B142" s="436" t="s">
        <v>1290</v>
      </c>
      <c r="C142" s="437" t="s">
        <v>21</v>
      </c>
      <c r="D142" s="544">
        <v>83.5</v>
      </c>
      <c r="E142" s="544">
        <v>85</v>
      </c>
      <c r="F142" s="544">
        <v>90</v>
      </c>
      <c r="G142" s="544"/>
      <c r="H142" s="544"/>
      <c r="I142" s="544"/>
      <c r="J142" s="544"/>
      <c r="K142" s="544"/>
      <c r="L142" s="544"/>
      <c r="M142" s="544"/>
      <c r="N142" s="544"/>
      <c r="O142" s="544"/>
      <c r="P142" s="544"/>
      <c r="Q142" s="544">
        <f t="shared" si="20"/>
        <v>1.5</v>
      </c>
      <c r="R142" s="544">
        <f t="shared" si="20"/>
        <v>5</v>
      </c>
    </row>
  </sheetData>
  <sheetProtection/>
  <mergeCells count="11">
    <mergeCell ref="A2:R2"/>
    <mergeCell ref="A3:R3"/>
    <mergeCell ref="A5:A6"/>
    <mergeCell ref="B5:B6"/>
    <mergeCell ref="C5:C6"/>
    <mergeCell ref="D5:D6"/>
    <mergeCell ref="E5:E6"/>
    <mergeCell ref="F5:F6"/>
    <mergeCell ref="G5:P5"/>
    <mergeCell ref="Q5:R5"/>
    <mergeCell ref="S8:S26"/>
  </mergeCells>
  <printOptions horizontalCentered="1"/>
  <pageMargins left="0.35433070866141736" right="0.21" top="0.4" bottom="0.32" header="0.31496062992125984" footer="0.2"/>
  <pageSetup horizontalDpi="600" verticalDpi="600" orientation="landscape" paperSize="9" scale="89" r:id="rId1"/>
  <headerFooter>
    <oddFooter>&amp;R&amp;P/&amp;N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164A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Windows xp sp2 Full</dc:creator>
  <cp:keywords/>
  <dc:description/>
  <cp:lastModifiedBy>MyPC</cp:lastModifiedBy>
  <cp:lastPrinted>2018-11-25T02:16:21Z</cp:lastPrinted>
  <dcterms:created xsi:type="dcterms:W3CDTF">2005-06-03T06:49:00Z</dcterms:created>
  <dcterms:modified xsi:type="dcterms:W3CDTF">2018-11-25T03:52:54Z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wner">
    <vt:lpwstr>Nguyen Duc Thinh</vt:lpwstr>
  </property>
  <property fmtid="{D5CDD505-2E9C-101B-9397-08002B2CF9AE}" pid="3" name="KSOProductBuildVer">
    <vt:lpwstr>1033-10.2.0.5871</vt:lpwstr>
  </property>
</Properties>
</file>